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4.wmf" ContentType="image/x-wmf"/>
  <Override PartName="/xl/media/image3.wmf" ContentType="image/x-wmf"/>
  <Override PartName="/xl/media/image2.wmf" ContentType="image/x-wmf"/>
  <Override PartName="/xl/media/image1.wmf" ContentType="image/x-wmf"/>
  <Override PartName="/xl/sharedStrings.xml" ContentType="application/vnd.openxmlformats-officedocument.spreadsheetml.sharedString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021" sheetId="1" state="hidden" r:id="rId2"/>
    <sheet name="2026" sheetId="2" state="visible" r:id="rId3"/>
    <sheet name="2025" sheetId="3" state="hidden" r:id="rId4"/>
    <sheet name="2024" sheetId="4" state="hidden" r:id="rId5"/>
    <sheet name="2023" sheetId="5" state="hidden" r:id="rId6"/>
    <sheet name="2022" sheetId="6" state="hidden" r:id="rId7"/>
    <sheet name="2020" sheetId="7" state="hidden" r:id="rId8"/>
    <sheet name="2019" sheetId="8" state="hidden" r:id="rId9"/>
    <sheet name="2015" sheetId="9" state="hidden" r:id="rId10"/>
    <sheet name="Лист1" sheetId="10" state="hidden" r:id="rId11"/>
  </sheets>
  <definedNames>
    <definedName function="false" hidden="false" localSheetId="8" name="_xlnm.Print_Area" vbProcedure="false">'2015'!$A$1:$I$172</definedName>
    <definedName function="false" hidden="false" localSheetId="7" name="_xlnm.Print_Area" vbProcedure="false">'2019'!$A$1:$G$172</definedName>
    <definedName function="false" hidden="false" localSheetId="6" name="_xlnm.Print_Area" vbProcedure="false">'2020'!$A$1:$G$166</definedName>
    <definedName function="false" hidden="false" localSheetId="0" name="_xlnm.Print_Area" vbProcedure="false">'2021'!$A$1:$G$166</definedName>
    <definedName function="false" hidden="false" localSheetId="5" name="_xlnm.Print_Area" vbProcedure="false">'2022'!$A$1:$G$166</definedName>
    <definedName function="false" hidden="false" localSheetId="4" name="_xlnm.Print_Area" vbProcedure="false">'2023'!$A$1:$G$166</definedName>
    <definedName function="false" hidden="false" localSheetId="3" name="_xlnm.Print_Area" vbProcedure="false">'2024'!$A$1:$G$166</definedName>
    <definedName function="false" hidden="false" localSheetId="2" name="_xlnm.Print_Area" vbProcedure="false">'2025'!$A$1:$G$166</definedName>
    <definedName function="false" hidden="false" localSheetId="1" name="_xlnm.Print_Area" vbProcedure="false">'2026'!$A$1:$G$166</definedName>
    <definedName function="false" hidden="false" localSheetId="0" name="sub_10100" vbProcedure="false">'2021'!$A$1</definedName>
    <definedName function="false" hidden="false" localSheetId="0" name="sub_10200" vbProcedure="false">'2021'!$A$28</definedName>
    <definedName function="false" hidden="false" localSheetId="0" name="sub_10300" vbProcedure="false">'2021'!$A$32</definedName>
    <definedName function="false" hidden="false" localSheetId="0" name="sub_10311" vbProcedure="false">'2021'!$A$133</definedName>
    <definedName function="false" hidden="false" localSheetId="0" name="sub_10500" vbProcedure="false">'2021'!$A$135</definedName>
    <definedName function="false" hidden="false" localSheetId="0" name="sub_10511" vbProcedure="false">'2021'!$A$157</definedName>
    <definedName function="false" hidden="false" localSheetId="0" name="_xlnm.Print_Area" vbProcedure="false">'2021'!$A$1:$G$166</definedName>
    <definedName function="false" hidden="false" localSheetId="0" name="_xlnm.Print_Area_0" vbProcedure="false">'2021'!$A$1:$G$166</definedName>
    <definedName function="false" hidden="false" localSheetId="1" name="sub_10100" vbProcedure="false">'2026'!$A$1</definedName>
    <definedName function="false" hidden="false" localSheetId="1" name="sub_10200" vbProcedure="false">'2026'!$A$28</definedName>
    <definedName function="false" hidden="false" localSheetId="1" name="sub_10300" vbProcedure="false">'2026'!$A$32</definedName>
    <definedName function="false" hidden="false" localSheetId="1" name="sub_10311" vbProcedure="false">'2026'!$A$133</definedName>
    <definedName function="false" hidden="false" localSheetId="1" name="sub_10500" vbProcedure="false">'2026'!$A$135</definedName>
    <definedName function="false" hidden="false" localSheetId="1" name="sub_10511" vbProcedure="false">'2026'!$A$157</definedName>
    <definedName function="false" hidden="false" localSheetId="1" name="_xlnm.Print_Area" vbProcedure="false">'2026'!$A$1:$G$166</definedName>
    <definedName function="false" hidden="false" localSheetId="1" name="_xlnm.Print_Area_0" vbProcedure="false">'2026'!$A$1:$G$166</definedName>
    <definedName function="false" hidden="false" localSheetId="2" name="sub_10100" vbProcedure="false">'2025'!$A$1</definedName>
    <definedName function="false" hidden="false" localSheetId="2" name="sub_10200" vbProcedure="false">'2025'!$A$28</definedName>
    <definedName function="false" hidden="false" localSheetId="2" name="sub_10300" vbProcedure="false">'2025'!$A$32</definedName>
    <definedName function="false" hidden="false" localSheetId="2" name="sub_10311" vbProcedure="false">'2025'!$A$133</definedName>
    <definedName function="false" hidden="false" localSheetId="2" name="sub_10500" vbProcedure="false">'2025'!$A$135</definedName>
    <definedName function="false" hidden="false" localSheetId="2" name="sub_10511" vbProcedure="false">'2025'!$A$157</definedName>
    <definedName function="false" hidden="false" localSheetId="2" name="_xlnm.Print_Area" vbProcedure="false">'2025'!$A$1:$G$166</definedName>
    <definedName function="false" hidden="false" localSheetId="2" name="_xlnm.Print_Area_0" vbProcedure="false">'2025'!$A$1:$G$166</definedName>
    <definedName function="false" hidden="false" localSheetId="3" name="sub_10100" vbProcedure="false">'2024'!$A$1</definedName>
    <definedName function="false" hidden="false" localSheetId="3" name="sub_10200" vbProcedure="false">'2024'!$A$28</definedName>
    <definedName function="false" hidden="false" localSheetId="3" name="sub_10300" vbProcedure="false">'2024'!$A$32</definedName>
    <definedName function="false" hidden="false" localSheetId="3" name="sub_10311" vbProcedure="false">'2024'!$A$133</definedName>
    <definedName function="false" hidden="false" localSheetId="3" name="sub_10500" vbProcedure="false">'2024'!$A$135</definedName>
    <definedName function="false" hidden="false" localSheetId="3" name="sub_10511" vbProcedure="false">'2024'!$A$157</definedName>
    <definedName function="false" hidden="false" localSheetId="3" name="_xlnm.Print_Area" vbProcedure="false">'2024'!$A$1:$G$166</definedName>
    <definedName function="false" hidden="false" localSheetId="3" name="_xlnm.Print_Area_0" vbProcedure="false">'2024'!$A$1:$G$166</definedName>
    <definedName function="false" hidden="false" localSheetId="4" name="sub_10100" vbProcedure="false">'2023'!$A$1</definedName>
    <definedName function="false" hidden="false" localSheetId="4" name="sub_10200" vbProcedure="false">'2023'!$A$28</definedName>
    <definedName function="false" hidden="false" localSheetId="4" name="sub_10300" vbProcedure="false">'2023'!$A$32</definedName>
    <definedName function="false" hidden="false" localSheetId="4" name="sub_10311" vbProcedure="false">'2023'!$A$133</definedName>
    <definedName function="false" hidden="false" localSheetId="4" name="sub_10500" vbProcedure="false">'2023'!$A$135</definedName>
    <definedName function="false" hidden="false" localSheetId="4" name="sub_10511" vbProcedure="false">'2023'!$A$157</definedName>
    <definedName function="false" hidden="false" localSheetId="4" name="_xlnm.Print_Area" vbProcedure="false">'2023'!$A$1:$G$166</definedName>
    <definedName function="false" hidden="false" localSheetId="4" name="_xlnm.Print_Area_0" vbProcedure="false">'2023'!$A$1:$G$166</definedName>
    <definedName function="false" hidden="false" localSheetId="5" name="sub_10100" vbProcedure="false">'2022'!$A$1</definedName>
    <definedName function="false" hidden="false" localSheetId="5" name="sub_10200" vbProcedure="false">'2022'!$A$28</definedName>
    <definedName function="false" hidden="false" localSheetId="5" name="sub_10300" vbProcedure="false">'2022'!$A$32</definedName>
    <definedName function="false" hidden="false" localSheetId="5" name="sub_10311" vbProcedure="false">'2022'!$A$133</definedName>
    <definedName function="false" hidden="false" localSheetId="5" name="sub_10500" vbProcedure="false">'2022'!$A$135</definedName>
    <definedName function="false" hidden="false" localSheetId="5" name="sub_10511" vbProcedure="false">'2022'!$A$157</definedName>
    <definedName function="false" hidden="false" localSheetId="5" name="_xlnm.Print_Area" vbProcedure="false">'2022'!$A$1:$G$166</definedName>
    <definedName function="false" hidden="false" localSheetId="5" name="_xlnm.Print_Area_0" vbProcedure="false">'2022'!$A$1:$G$166</definedName>
    <definedName function="false" hidden="false" localSheetId="6" name="sub_10100" vbProcedure="false">'2020'!$A$1</definedName>
    <definedName function="false" hidden="false" localSheetId="6" name="sub_10200" vbProcedure="false">'2020'!$A$28</definedName>
    <definedName function="false" hidden="false" localSheetId="6" name="sub_10300" vbProcedure="false">'2020'!$A$32</definedName>
    <definedName function="false" hidden="false" localSheetId="6" name="sub_10311" vbProcedure="false">'2020'!$A$133</definedName>
    <definedName function="false" hidden="false" localSheetId="6" name="sub_10500" vbProcedure="false">'2020'!$A$135</definedName>
    <definedName function="false" hidden="false" localSheetId="6" name="sub_10511" vbProcedure="false">'2020'!$A$157</definedName>
    <definedName function="false" hidden="false" localSheetId="6" name="_xlnm.Print_Area" vbProcedure="false">'2020'!$A$1:$G$166</definedName>
    <definedName function="false" hidden="false" localSheetId="6" name="_xlnm.Print_Area_0" vbProcedure="false">'2020'!$A$1:$G$166</definedName>
    <definedName function="false" hidden="false" localSheetId="7" name="sub_10100" vbProcedure="false">'2019'!$A$1</definedName>
    <definedName function="false" hidden="false" localSheetId="7" name="sub_10200" vbProcedure="false">'2019'!$A$28</definedName>
    <definedName function="false" hidden="false" localSheetId="7" name="sub_10300" vbProcedure="false">'2019'!$A$32</definedName>
    <definedName function="false" hidden="false" localSheetId="7" name="sub_10311" vbProcedure="false">'2019'!$A$138</definedName>
    <definedName function="false" hidden="false" localSheetId="7" name="sub_10500" vbProcedure="false">'2019'!$A$140</definedName>
    <definedName function="false" hidden="false" localSheetId="7" name="sub_10511" vbProcedure="false">'2019'!$A$162</definedName>
    <definedName function="false" hidden="false" localSheetId="7" name="_xlnm.Print_Area" vbProcedure="false">'2019'!$A$1:$G$172</definedName>
    <definedName function="false" hidden="false" localSheetId="7" name="_xlnm.Print_Area_0" vbProcedure="false">'2019'!$A$1:$G$172</definedName>
    <definedName function="false" hidden="false" localSheetId="8" name="sub_10100" vbProcedure="false">'2015'!$A$1</definedName>
    <definedName function="false" hidden="false" localSheetId="8" name="sub_10200" vbProcedure="false">'2015'!$A$28</definedName>
    <definedName function="false" hidden="false" localSheetId="8" name="sub_10300" vbProcedure="false">'2015'!$A$32</definedName>
    <definedName function="false" hidden="false" localSheetId="8" name="sub_10311" vbProcedure="false">'2015'!$A$138</definedName>
    <definedName function="false" hidden="false" localSheetId="8" name="sub_10500" vbProcedure="false">'2015'!$A$140</definedName>
    <definedName function="false" hidden="false" localSheetId="8" name="sub_10511" vbProcedure="false">'2015'!$A$162</definedName>
    <definedName function="false" hidden="false" localSheetId="8" name="_xlnm.Print_Area" vbProcedure="false">'2015'!$A$1:$I$172</definedName>
    <definedName function="false" hidden="false" localSheetId="8" name="_xlnm.Print_Area_0" vbProcedure="false">'2015'!$A$1:$I$172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<sst xmlns="http://schemas.openxmlformats.org/spreadsheetml/2006/main" count="2778" uniqueCount="207">
  <si>
    <t xml:space="preserve">П Р Е Д Л О Ж Е Н И Е</t>
  </si>
  <si>
    <t xml:space="preserve">      о размере цен (тарифов), долгосрочных параметров регулирования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</si>
  <si>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2021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</si>
  <si>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                             (расчетный период регулирования)</t>
  </si>
  <si>
    <r>
      <rPr>
        <sz val="11"/>
        <color rgb="FF000000"/>
        <rFont val="Arial"/>
        <family val="2"/>
        <charset val="204"/>
      </rPr>
      <t xml:space="preserve"> ____</t>
    </r>
    <r>
      <rPr>
        <u val="single"/>
        <sz val="11"/>
        <color rgb="FF000000"/>
        <rFont val="Arial"/>
        <family val="2"/>
        <charset val="204"/>
      </rPr>
      <t xml:space="preserve">Публичное акционерное общество "Красноярскэнергосбыт"_______________</t>
    </r>
  </si>
  <si>
    <t xml:space="preserve">          (полное и сокращенное наименование юридического лица)</t>
  </si>
  <si>
    <r>
      <rPr>
        <sz val="11"/>
        <color rgb="FF000000"/>
        <rFont val="Arial"/>
        <family val="2"/>
        <charset val="204"/>
      </rPr>
      <t xml:space="preserve"> _____</t>
    </r>
    <r>
      <rPr>
        <u val="single"/>
        <sz val="11"/>
        <color rgb="FF000000"/>
        <rFont val="Arial"/>
        <family val="2"/>
        <charset val="204"/>
      </rPr>
      <t xml:space="preserve">ПАО "Красноярскэнергосбыт"</t>
    </r>
    <r>
      <rPr>
        <sz val="11"/>
        <color rgb="FF000000"/>
        <rFont val="Arial"/>
        <family val="2"/>
        <charset val="204"/>
      </rPr>
      <t xml:space="preserve">________________________________________</t>
    </r>
  </si>
  <si>
    <t xml:space="preserve">Раздел 1. Информация об организации</t>
  </si>
  <si>
    <t xml:space="preserve">Полное наименование</t>
  </si>
  <si>
    <t xml:space="preserve">Публичное акционерное общество "Красноярскэнергосбыт"</t>
  </si>
  <si>
    <t xml:space="preserve">Сокращенное наименование</t>
  </si>
  <si>
    <t xml:space="preserve">ПАО "Красноярскэнергосбыт"</t>
  </si>
  <si>
    <t xml:space="preserve">Место нахождения</t>
  </si>
  <si>
    <t xml:space="preserve">660017, г.Красноярск, ул. Дубровинского, д.43</t>
  </si>
  <si>
    <t xml:space="preserve">Фактический адрес</t>
  </si>
  <si>
    <t xml:space="preserve">ИНН</t>
  </si>
  <si>
    <t xml:space="preserve">КПП</t>
  </si>
  <si>
    <t xml:space="preserve">Ф.И.О. руководителя</t>
  </si>
  <si>
    <t xml:space="preserve">Исполнительный директор Дьяченко Олег Владимирович</t>
  </si>
  <si>
    <t xml:space="preserve">Адрес электронной почты</t>
  </si>
  <si>
    <t xml:space="preserve">kanz@es.krasnoyarsk.ru</t>
  </si>
  <si>
    <t xml:space="preserve">Контактный телефон</t>
  </si>
  <si>
    <t xml:space="preserve">(391) 263-99-59</t>
  </si>
  <si>
    <t xml:space="preserve">Факс</t>
  </si>
  <si>
    <t xml:space="preserve">(391) 212-05-52</t>
  </si>
  <si>
    <t xml:space="preserve">Раздел 2. Основные показатели деятельности гарантирующих поставщиков</t>
  </si>
  <si>
    <t xml:space="preserve">Приложение N 4</t>
  </si>
  <si>
    <t xml:space="preserve">к предложению о размере цен</t>
  </si>
  <si>
    <t xml:space="preserve">N п/п</t>
  </si>
  <si>
    <t xml:space="preserve">Наименование показателей</t>
  </si>
  <si>
    <t xml:space="preserve">Единица измерения</t>
  </si>
  <si>
    <t xml:space="preserve">Фактические показатели за год, предшествующий базовому периоду     2019 год</t>
  </si>
  <si>
    <t xml:space="preserve">Показатели утвержденные на базовый период 2020 год</t>
  </si>
  <si>
    <t xml:space="preserve">Предложения на расчетный период регулирования 2021 год</t>
  </si>
  <si>
    <t xml:space="preserve">1.</t>
  </si>
  <si>
    <t xml:space="preserve">Объемы полезного отпуска электрической энергии - всего</t>
  </si>
  <si>
    <t xml:space="preserve">тыс.кВтч</t>
  </si>
  <si>
    <t xml:space="preserve">в том числе:</t>
  </si>
  <si>
    <t xml:space="preserve">1.1.</t>
  </si>
  <si>
    <t xml:space="preserve">населению и приравненным к нему категориям потребителей</t>
  </si>
  <si>
    <t xml:space="preserve">1.1.А.</t>
  </si>
  <si>
    <t xml:space="preserve">в пределах социальной нормы</t>
  </si>
  <si>
    <t xml:space="preserve">первое полугодие</t>
  </si>
  <si>
    <t xml:space="preserve">второе полугодие</t>
  </si>
  <si>
    <t xml:space="preserve">1.1.Б.</t>
  </si>
  <si>
    <t xml:space="preserve">сверх социальной нормы</t>
  </si>
  <si>
    <t xml:space="preserve">1.1.1.</t>
  </si>
  <si>
    <t xml:space="preserve"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</si>
  <si>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 xml:space="preserve">1.1.1.А.</t>
  </si>
  <si>
    <t xml:space="preserve">1.1.1.Б.</t>
  </si>
  <si>
    <t xml:space="preserve">1.1.2.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</si>
  <si>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</t>
  </si>
  <si>
    <t xml:space="preserve">1.1.2.А.</t>
  </si>
  <si>
    <t xml:space="preserve">1.1.2.Б.</t>
  </si>
  <si>
    <t xml:space="preserve">1.1.3.</t>
  </si>
  <si>
    <t xml:space="preserve"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</si>
  <si>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 xml:space="preserve">1.1.3.А.</t>
  </si>
  <si>
    <t xml:space="preserve">1.1.3.Б.</t>
  </si>
  <si>
    <t xml:space="preserve">1.1.4.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</si>
  <si>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</si>
  <si>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 xml:space="preserve">1.1.4.А.</t>
  </si>
  <si>
    <t xml:space="preserve">1.1.4.Б.</t>
  </si>
  <si>
    <t xml:space="preserve">1.1.5.</t>
  </si>
  <si>
    <t xml:space="preserve">население, проживающее в сельских населенных пунктах</t>
  </si>
  <si>
    <t xml:space="preserve">1.1.5.А.</t>
  </si>
  <si>
    <t xml:space="preserve">1.1.5.Б.</t>
  </si>
  <si>
    <t xml:space="preserve">1.1.6.</t>
  </si>
  <si>
    <t xml:space="preserve">потребители, приравненные к населению, - всего</t>
  </si>
  <si>
    <t xml:space="preserve">1.1.6.А.</t>
  </si>
  <si>
    <t xml:space="preserve">1.1.6.Б.</t>
  </si>
  <si>
    <t xml:space="preserve">1.2.</t>
  </si>
  <si>
    <t xml:space="preserve"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</si>
  <si>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 xml:space="preserve">менее 670 кВт</t>
  </si>
  <si>
    <t xml:space="preserve">от 670 кВт до 10 МВт</t>
  </si>
  <si>
    <t xml:space="preserve">не менее 10 МВт</t>
  </si>
  <si>
    <t xml:space="preserve">1.3.</t>
  </si>
  <si>
    <t xml:space="preserve">сетевым организациям, приобретающим электрическую энергию в целях компенсации потерь электрической энергии в сетях</t>
  </si>
  <si>
    <t xml:space="preserve">в первом полугодии</t>
  </si>
  <si>
    <t xml:space="preserve">во втором полугодии</t>
  </si>
  <si>
    <t xml:space="preserve">2.</t>
  </si>
  <si>
    <t xml:space="preserve">Количество обслуживаемых договоров - всего</t>
  </si>
  <si>
    <t xml:space="preserve">тыс. штук</t>
  </si>
  <si>
    <t xml:space="preserve">2.1.</t>
  </si>
  <si>
    <t xml:space="preserve">с населением и приравненными к нему категориями потребителей</t>
  </si>
  <si>
    <t xml:space="preserve">2.2.</t>
  </si>
  <si>
    <t xml:space="preserve"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</si>
  <si>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 xml:space="preserve">2.3.</t>
  </si>
  <si>
    <t xml:space="preserve">с сетевыми организациями, приобретающими электрическую энергию в целях компенсации потерь электрической энергии в сетях</t>
  </si>
  <si>
    <t xml:space="preserve">3.</t>
  </si>
  <si>
    <t xml:space="preserve">Количество точек учета по обслуживаемым договорам - всего</t>
  </si>
  <si>
    <t xml:space="preserve">штук</t>
  </si>
  <si>
    <t xml:space="preserve">3.1.</t>
  </si>
  <si>
    <t xml:space="preserve">по населению и приравненными к нему категориями потребителей</t>
  </si>
  <si>
    <t xml:space="preserve">3.2.</t>
  </si>
  <si>
    <t xml:space="preserve"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</si>
  <si>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 xml:space="preserve">4.</t>
  </si>
  <si>
    <t xml:space="preserve">Количество точек подключения</t>
  </si>
  <si>
    <t xml:space="preserve">-</t>
  </si>
  <si>
    <t xml:space="preserve">5.</t>
  </si>
  <si>
    <t xml:space="preserve">Необходимая валовая выручка гарантирующего поставщика</t>
  </si>
  <si>
    <t xml:space="preserve">тыс. рублей</t>
  </si>
  <si>
    <t xml:space="preserve">6.</t>
  </si>
  <si>
    <t xml:space="preserve">Показатели численности персонала и фонда оплаты труда по регулируемым видам деятельности</t>
  </si>
  <si>
    <t xml:space="preserve">6.1.</t>
  </si>
  <si>
    <t xml:space="preserve">Среднесписочная численность персонала</t>
  </si>
  <si>
    <t xml:space="preserve">человек</t>
  </si>
  <si>
    <t xml:space="preserve">6.2.</t>
  </si>
  <si>
    <t xml:space="preserve">Среднемесячная заработная плата на одного работника</t>
  </si>
  <si>
    <t xml:space="preserve">тыс. рублей на человека</t>
  </si>
  <si>
    <t xml:space="preserve">6.3.</t>
  </si>
  <si>
    <t xml:space="preserve">Реквизиты отраслевого тарифного соглашения (дата утверждения, срок действия)</t>
  </si>
  <si>
    <t xml:space="preserve">7.</t>
  </si>
  <si>
    <t xml:space="preserve">Проценты по обслуживанию кредитов</t>
  </si>
  <si>
    <t xml:space="preserve">8.</t>
  </si>
  <si>
    <t xml:space="preserve">Резерв по сомнительным долгам</t>
  </si>
  <si>
    <t xml:space="preserve">9.</t>
  </si>
  <si>
    <t xml:space="preserve">Необходимые расходы из прибыли</t>
  </si>
  <si>
    <t xml:space="preserve">10.</t>
  </si>
  <si>
    <t xml:space="preserve">Чистая прибыль (убыток)</t>
  </si>
  <si>
    <t xml:space="preserve">11.</t>
  </si>
  <si>
    <t xml:space="preserve">Рентабельность продаж (величина прибыли от продаж в каждом рубле выручки)</t>
  </si>
  <si>
    <t xml:space="preserve">процент</t>
  </si>
  <si>
    <t xml:space="preserve">12.</t>
  </si>
  <si>
    <t xml:space="preserve">Реквизиты инвестиционной программы (кем утверждена, дата утверждения, номер приказа или решения, электронный адрес размещения)</t>
  </si>
  <si>
    <t xml:space="preserve">Приказом Министерства промышленности, энергетики и жилищно-коммунального хозяйства Красноярского края от 31.10.2018 № 08-182 http://www.krskstate.ru/promtorg/energy/elektroseti/0/id/25175. </t>
  </si>
  <si>
    <t xml:space="preserve">Приказом Министерства промышленности, энергетики и жилищно-коммунального хозяйства Красноярского края от 31.10.2019 № 08-176 http://www.krskstate.ru/promtorg/energy/elektroseti/0/id/25176</t>
  </si>
  <si>
    <t xml:space="preserve">* Базовый период - год, предшествующий расчетному периоду регулирования.</t>
  </si>
  <si>
    <t xml:space="preserve">Приложение N 5</t>
  </si>
  <si>
    <t xml:space="preserve">Раздел 3. Цены (тарифы) по регулируемым видам деятельности организации</t>
  </si>
  <si>
    <t xml:space="preserve">Фактические показатели за год, предшествующий базовому периоду</t>
  </si>
  <si>
    <t xml:space="preserve">Предложения на расчетный период регулирования</t>
  </si>
  <si>
    <t xml:space="preserve">1-е полугодие</t>
  </si>
  <si>
    <t xml:space="preserve">2-е полугодие</t>
  </si>
  <si>
    <t xml:space="preserve">Для гарантирующих поставщиков</t>
  </si>
  <si>
    <t xml:space="preserve">величина сбытовой надбавки для населения и приравненных к нему категорий потребителей с НДС</t>
  </si>
  <si>
    <t xml:space="preserve">рублей/ Мвт.ч</t>
  </si>
  <si>
    <t xml:space="preserve">величина сбытовой надбавки для сетевых организаций, покупающих электрическую энергию для компенсации потерь электрической энергии</t>
  </si>
  <si>
    <t xml:space="preserve">3.3.</t>
  </si>
  <si>
    <t xml:space="preserve">величина сбытовой надбавки для прочих потребителей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</si>
  <si>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2026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</si>
  <si>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Исполнительный директор Смирнова Юлия Владимировна</t>
  </si>
  <si>
    <t xml:space="preserve">Фактические показатели за год, предшествующий базовому периоду   2024 год</t>
  </si>
  <si>
    <t xml:space="preserve">Показатели утвержденные на базовый период 2025 год</t>
  </si>
  <si>
    <t xml:space="preserve">Предложения на расчетный период регулирования 2026 год</t>
  </si>
  <si>
    <t xml:space="preserve">Приказом Министерства промышленности, энергетики и жилищно-коммунального хозяйства Красноярского края от 30.10.2019 № 08-176 http://www.krskstate.ru/promtorg/energy/elektroseti/0/id/25175</t>
  </si>
  <si>
    <t xml:space="preserve">Предложения по корректировке инвестиционной программы ПАО "Красноярскэнергосбыт на 2024-2028 гг     http://www.krskstate.ru/dat/bin/art_attach/22415_materiali_proekta_ipr_pao_krasnoyrskqnergosbit_ot_11.04.2023.zip</t>
  </si>
  <si>
    <t xml:space="preserve">приказом Министерства промышленности и торговли от 22.10.2025 №124   http://minprom.krskstate.ru/energy/elektroseti/0/id/25175</t>
  </si>
  <si>
    <t xml:space="preserve">2-е полугодие </t>
  </si>
  <si>
    <t xml:space="preserve">9 месяцев</t>
  </si>
  <si>
    <t xml:space="preserve">4 квартал</t>
  </si>
  <si>
    <t xml:space="preserve">величина сбытовой надбавки для населения и приравненных к нему категорий потребителей 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</si>
  <si>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2025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</si>
  <si>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предшествующий базовому периоду   2023 год</t>
  </si>
  <si>
    <t xml:space="preserve">Показатели утвержденные на базовый период 2024 год</t>
  </si>
  <si>
    <t xml:space="preserve">Предложения на расчетный период регулирования 2025 год</t>
  </si>
  <si>
    <t xml:space="preserve">1-е полугодие (1 квартал)</t>
  </si>
  <si>
    <t xml:space="preserve">2-е полугодие и 2 квартал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</si>
  <si>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2024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</si>
  <si>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предшествующий базовому периоду   2022 год</t>
  </si>
  <si>
    <t xml:space="preserve">Показатели утвержденные на базовый период 2023 год</t>
  </si>
  <si>
    <t xml:space="preserve">Предложения на расчетный период регулирования 2024 год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</si>
  <si>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2023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</si>
  <si>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предшествую-щий базовому периоду   2021 год</t>
  </si>
  <si>
    <t xml:space="preserve">Показатели утвержденные на базовый период 2022 год</t>
  </si>
  <si>
    <t xml:space="preserve">Предложения на расчетный период регулирования 2023 год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</si>
  <si>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2022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</si>
  <si>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предшествую-щий базовому периоду   2020 год</t>
  </si>
  <si>
    <t xml:space="preserve">Показатели утвержденные на базовый период 2021 год</t>
  </si>
  <si>
    <t xml:space="preserve">Предложения на расчетный период регулирования 2022 год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</si>
  <si>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2020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</si>
  <si>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(391) 212-08-51</t>
  </si>
  <si>
    <t xml:space="preserve">Показатели утвержденные на базовый период 2019 год</t>
  </si>
  <si>
    <t xml:space="preserve">Предложения на расчетный период регулирования 2020 год</t>
  </si>
  <si>
    <t xml:space="preserve">Приказом Минэнерго России 27.10.2017 № 3, http://minenergo.gov.ru/node/4199</t>
  </si>
  <si>
    <t xml:space="preserve">величина сбытовой надбавки для населения и приравненных к нему категорий потребителей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</si>
  <si>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2019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</si>
  <si>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t xml:space="preserve">Фактические показатели за год, предшествующий базовому периоду     2015 год</t>
  </si>
  <si>
    <t xml:space="preserve">Показатели утвержденные на базовый период 2018 год</t>
  </si>
  <si>
    <t xml:space="preserve">Предложения на расчетный период регулирования 2019 год</t>
  </si>
  <si>
    <t xml:space="preserve">менее 150 кВт</t>
  </si>
  <si>
    <t xml:space="preserve">от 150 кВт до 670 кВт</t>
  </si>
  <si>
    <t xml:space="preserve">Утверждена Минэнерго России 31.10.2016 № 1164, http://minenergo.gov.ru/node/4199</t>
  </si>
  <si>
    <t xml:space="preserve">Утверждена Минэнерго России 27.10.2017 № 3, http://minenergo.gov.ru/node/4199</t>
  </si>
  <si>
    <t xml:space="preserve">величина сбытовой надбавки для тарифной группы потребителей "население" и приравненных к нему категорий потребителей</t>
  </si>
  <si>
    <t xml:space="preserve">величина сбытовой надбавки для тарифной группы потребителей "сетевые организации, покупающие электрическую энергию для компенсации потерь электрической энергии"</t>
  </si>
  <si>
    <t xml:space="preserve">доходность продаж для прочих потребителей:</t>
  </si>
  <si>
    <r>
      <rPr>
        <b val="true"/>
        <sz val="11"/>
        <color rgb="FF26282F"/>
        <rFont val="Arial"/>
        <family val="2"/>
        <charset val="204"/>
      </rPr>
      <t xml:space="preserve">         (вид цены (тарифа) на _________</t>
    </r>
    <r>
      <rPr>
        <b val="true"/>
        <u val="single"/>
        <sz val="11"/>
        <color rgb="FF26282F"/>
        <rFont val="Arial"/>
        <family val="2"/>
        <charset val="204"/>
      </rPr>
      <t xml:space="preserve">2015</t>
    </r>
    <r>
      <rPr>
        <b val="true"/>
        <sz val="11"/>
        <color rgb="FF26282F"/>
        <rFont val="Arial"/>
        <family val="2"/>
        <charset val="204"/>
      </rPr>
      <t xml:space="preserve">____________________ год</t>
    </r>
  </si>
  <si>
    <r>
      <rPr>
        <sz val="11"/>
        <color rgb="FF000000"/>
        <rFont val="Arial"/>
        <family val="2"/>
        <charset val="204"/>
      </rPr>
      <t xml:space="preserve"> ____</t>
    </r>
    <r>
      <rPr>
        <u val="single"/>
        <sz val="11"/>
        <color rgb="FF000000"/>
        <rFont val="Arial"/>
        <family val="2"/>
        <charset val="204"/>
      </rPr>
      <t xml:space="preserve">Открытое акционерное общество "Красноярскэнергосбыт"_______________</t>
    </r>
  </si>
  <si>
    <r>
      <rPr>
        <sz val="11"/>
        <color rgb="FF000000"/>
        <rFont val="Arial"/>
        <family val="2"/>
        <charset val="204"/>
      </rPr>
      <t xml:space="preserve"> _____</t>
    </r>
    <r>
      <rPr>
        <u val="single"/>
        <sz val="11"/>
        <color rgb="FF000000"/>
        <rFont val="Arial"/>
        <family val="2"/>
        <charset val="204"/>
      </rPr>
      <t xml:space="preserve">ОАО "Красноярскэнергосбыт"</t>
    </r>
    <r>
      <rPr>
        <sz val="11"/>
        <color rgb="FF000000"/>
        <rFont val="Arial"/>
        <family val="2"/>
        <charset val="204"/>
      </rPr>
      <t xml:space="preserve">________________________________________</t>
    </r>
  </si>
  <si>
    <t xml:space="preserve">Приложение N 3</t>
  </si>
  <si>
    <t xml:space="preserve">(тарифов), долгосрочных</t>
  </si>
  <si>
    <t xml:space="preserve">параметров регулирования</t>
  </si>
  <si>
    <t xml:space="preserve">Открытое акционерное общество "Красноярскэнергосбыт"</t>
  </si>
  <si>
    <t xml:space="preserve">ОАО "Красноярскэнергосбыт"</t>
  </si>
  <si>
    <t xml:space="preserve">Показатели утвержденные на базовый период</t>
  </si>
  <si>
    <t xml:space="preserve">в плане не выделяется</t>
  </si>
  <si>
    <t xml:space="preserve">советом директоров ОАО "Красноярск-энергосбыт" 29.10.2013, протокол № 102</t>
  </si>
  <si>
    <t xml:space="preserve">советом директоров ОАО "Красноярск-энергосбыт" 29.05.2014, протокол № 109</t>
  </si>
  <si>
    <t xml:space="preserve">форма 46-ЭЭ</t>
  </si>
  <si>
    <t xml:space="preserve">строка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</si>
  <si>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</si>
  <si>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</si>
  <si>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</si>
  <si>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</si>
  <si>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</si>
  <si>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</si>
  <si>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1 полугод.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</si>
</sst>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0"/>
    <numFmt numFmtId="167" formatCode="#,##0.0"/>
    <numFmt numFmtId="168" formatCode="#,##0.000"/>
    <numFmt numFmtId="169" formatCode="0.000"/>
    <numFmt numFmtId="170" formatCode="0.00%"/>
    <numFmt numFmtId="171" formatCode="0.00"/>
    <numFmt numFmtId="172" formatCode="0.0"/>
    <numFmt numFmtId="173" formatCode="#,##0.00"/>
  </numFmts>
  <fonts count="1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 val="true"/>
      <sz val="11"/>
      <color rgb="FF26282F"/>
      <name val="Arial"/>
      <family val="2"/>
      <charset val="204"/>
    </font>
    <font>
      <b val="true"/>
      <u val="single"/>
      <sz val="11"/>
      <color rgb="FF26282F"/>
      <name val="Arial"/>
      <family val="2"/>
      <charset val="204"/>
    </font>
    <font>
      <u val="single"/>
      <sz val="11"/>
      <color rgb="FF000000"/>
      <name val="Arial"/>
      <family val="2"/>
      <charset val="204"/>
    </font>
    <font>
      <b val="true"/>
      <sz val="11"/>
      <name val="Arial"/>
      <family val="2"/>
      <charset val="204"/>
    </font>
    <font>
      <u val="single"/>
      <sz val="11"/>
      <color rgb="FF0000FF"/>
      <name val="Calibri"/>
      <family val="2"/>
      <charset val="204"/>
    </font>
    <font>
      <sz val="11"/>
      <color rgb="FF0000FF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71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71" fontId="5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2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2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8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163</xdr:row>
      <xdr:rowOff>0</xdr:rowOff>
    </xdr:from>
    <xdr:to>
      <xdr:col>3</xdr:col>
      <xdr:colOff>113760</xdr:colOff>
      <xdr:row>163</xdr:row>
      <xdr:rowOff>161280</xdr:rowOff>
    </xdr:to>
    <xdr:pic>
      <xdr:nvPicPr>
        <xdr:cNvPr id="0" name="Picture 70" descr=""/>
        <xdr:cNvPicPr/>
      </xdr:nvPicPr>
      <xdr:blipFill>
        <a:blip r:embed="rId1"/>
        <a:stretch/>
      </xdr:blipFill>
      <xdr:spPr>
        <a:xfrm>
          <a:off x="3698640" y="52911360"/>
          <a:ext cx="1021320" cy="161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3</xdr:col>
      <xdr:colOff>113760</xdr:colOff>
      <xdr:row>164</xdr:row>
      <xdr:rowOff>161280</xdr:rowOff>
    </xdr:to>
    <xdr:pic>
      <xdr:nvPicPr>
        <xdr:cNvPr id="1" name="Picture 69" descr=""/>
        <xdr:cNvPicPr/>
      </xdr:nvPicPr>
      <xdr:blipFill>
        <a:blip r:embed="rId2"/>
        <a:stretch/>
      </xdr:blipFill>
      <xdr:spPr>
        <a:xfrm>
          <a:off x="3698640" y="53682840"/>
          <a:ext cx="1021320" cy="161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163</xdr:row>
      <xdr:rowOff>0</xdr:rowOff>
    </xdr:from>
    <xdr:to>
      <xdr:col>3</xdr:col>
      <xdr:colOff>113760</xdr:colOff>
      <xdr:row>163</xdr:row>
      <xdr:rowOff>161280</xdr:rowOff>
    </xdr:to>
    <xdr:pic>
      <xdr:nvPicPr>
        <xdr:cNvPr id="2" name="Picture 70" descr=""/>
        <xdr:cNvPicPr/>
      </xdr:nvPicPr>
      <xdr:blipFill>
        <a:blip r:embed="rId1"/>
        <a:stretch/>
      </xdr:blipFill>
      <xdr:spPr>
        <a:xfrm>
          <a:off x="3698640" y="52787520"/>
          <a:ext cx="1021320" cy="161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3</xdr:col>
      <xdr:colOff>113760</xdr:colOff>
      <xdr:row>164</xdr:row>
      <xdr:rowOff>161280</xdr:rowOff>
    </xdr:to>
    <xdr:pic>
      <xdr:nvPicPr>
        <xdr:cNvPr id="3" name="Picture 69" descr=""/>
        <xdr:cNvPicPr/>
      </xdr:nvPicPr>
      <xdr:blipFill>
        <a:blip r:embed="rId2"/>
        <a:stretch/>
      </xdr:blipFill>
      <xdr:spPr>
        <a:xfrm>
          <a:off x="3698640" y="53559000"/>
          <a:ext cx="1021320" cy="161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hyperlink" Target="http://www.krskstate.ru/dat/bin/art_attach/22415_materiali_proekta_ipr_pao_krasnoyrskqnergosbit_ot_11.04.2023.zip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hyperlink" Target="http://www.krskstate.ru/dat/bin/art_attach/22415_materiali_proekta_ipr_pao_krasnoyrskqnergosbit_ot_11.04.2023.zip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hyperlink" Target="http://www.krskstate.ru/dat/bin/art_attach/22415_materiali_proekta_ipr_pao_krasnoyrskqnergosbit_ot_11.04.2023.zip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mailto:kanz@es.krasnoyarsk.ru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4.2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2" width="16.87"/>
    <col collapsed="false" customWidth="true" hidden="false" outlineLevel="0" max="5" min="5" style="2" width="18.85"/>
    <col collapsed="false" customWidth="true" hidden="false" outlineLevel="0" max="6" min="6" style="2" width="19"/>
    <col collapsed="false" customWidth="true" hidden="false" outlineLevel="0" max="9" min="7" style="1" width="15.29"/>
    <col collapsed="false" customWidth="true" hidden="false" outlineLevel="0" max="10" min="10" style="1" width="10.13"/>
    <col collapsed="false" customWidth="true" hidden="false" outlineLevel="0" max="11" min="11" style="1" width="9.13"/>
    <col collapsed="false" customWidth="true" hidden="false" outlineLevel="0" max="13" min="12" style="1" width="10.13"/>
    <col collapsed="false" customWidth="true" hidden="false" outlineLevel="0" max="1025" min="14" style="1" width="9.13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2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31</v>
      </c>
      <c r="E48" s="19" t="s">
        <v>32</v>
      </c>
      <c r="F48" s="20" t="s">
        <v>33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24" t="n">
        <f aca="false">D51+D101+D111</f>
        <v>11880101.375329</v>
      </c>
      <c r="E49" s="24" t="n">
        <f aca="false">E51+E101+E111</f>
        <v>11402304.1</v>
      </c>
      <c r="F49" s="25" t="n">
        <f aca="false">F51+F101+F111</f>
        <v>11341103.9670013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3474555.733329</v>
      </c>
      <c r="E51" s="24" t="n">
        <f aca="false">E52+E55+E94</f>
        <v>3535867.1</v>
      </c>
      <c r="F51" s="33" t="n">
        <f aca="false">F52+F55+F94</f>
        <v>3625000.00000129</v>
      </c>
      <c r="G51" s="34"/>
      <c r="H51" s="35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2124730.172389</v>
      </c>
      <c r="E52" s="24" t="n">
        <f aca="false">E60+E67+E88</f>
        <v>2343916.83496566</v>
      </c>
      <c r="F52" s="33" t="n">
        <f aca="false">F60+F67+F88</f>
        <v>2406720.99082383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1075296.566</v>
      </c>
      <c r="E53" s="24" t="n">
        <f aca="false">E61+E68+E89</f>
        <v>1217652.52724826</v>
      </c>
      <c r="F53" s="33" t="n">
        <f aca="false">F61+F68+F89</f>
        <v>1249886.51000131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1049433.606389</v>
      </c>
      <c r="E54" s="24" t="n">
        <f aca="false">E62+E69+E90</f>
        <v>1126264.3077174</v>
      </c>
      <c r="F54" s="33" t="n">
        <f aca="false">F62+F69+F90</f>
        <v>1156834.48082252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D63+D70+D77+D84+D91+D98</f>
        <v>1349825.56094</v>
      </c>
      <c r="E55" s="24" t="n">
        <f aca="false">E63+E70+E91</f>
        <v>984738.298270648</v>
      </c>
      <c r="F55" s="33" t="n">
        <f aca="false">F63+F70+F91</f>
        <v>1008739.3598883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D64+D71+D78+D85+D92+D99</f>
        <v>744795.699</v>
      </c>
      <c r="E56" s="24" t="n">
        <f aca="false">E64+E71+E92</f>
        <v>505238.550751736</v>
      </c>
      <c r="F56" s="33" t="n">
        <f aca="false">F64+F71+F92</f>
        <v>518758.445000001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D65+D72+D79+D86+D93+D100</f>
        <v>605029.86194</v>
      </c>
      <c r="E57" s="24" t="n">
        <f aca="false">E65+E72+E93</f>
        <v>479499.747518912</v>
      </c>
      <c r="F57" s="33" t="n">
        <f aca="false">F65+F72+F93</f>
        <v>489980.914888295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362341.26</v>
      </c>
      <c r="E59" s="24" t="n">
        <f aca="false">E60+E63</f>
        <v>401035.822026147</v>
      </c>
      <c r="F59" s="33" t="n">
        <f aca="false">F60+F63</f>
        <v>397500.736231649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249983.78606</v>
      </c>
      <c r="E60" s="24" t="n">
        <f aca="false">E61+E62</f>
        <v>313876.963509384</v>
      </c>
      <c r="F60" s="33" t="n">
        <f aca="false">F61+F62</f>
        <v>312024.854383968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3" t="n">
        <v>127862.803</v>
      </c>
      <c r="E61" s="24" t="n">
        <v>160219.81522417</v>
      </c>
      <c r="F61" s="33" t="n">
        <v>164671.494270854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3" t="n">
        <v>122120.98306</v>
      </c>
      <c r="E62" s="24" t="n">
        <v>153657.148285214</v>
      </c>
      <c r="F62" s="33" t="n">
        <v>147353.360113114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3" t="n">
        <f aca="false">D64+D65</f>
        <v>112357.47394</v>
      </c>
      <c r="E63" s="24" t="n">
        <f aca="false">E64+E65</f>
        <v>87158.8585167629</v>
      </c>
      <c r="F63" s="33" t="n">
        <f aca="false">F64+F65</f>
        <v>85475.8818476811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3" t="n">
        <v>61943.198</v>
      </c>
      <c r="E64" s="24" t="n">
        <v>41443.1744394697</v>
      </c>
      <c r="F64" s="33" t="n">
        <v>42884.4143203435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3" t="n">
        <v>50414.27594</v>
      </c>
      <c r="E65" s="24" t="n">
        <v>45715.6840772932</v>
      </c>
      <c r="F65" s="33" t="n">
        <v>42591.4675273376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3" t="n">
        <f aca="false">D67+D70</f>
        <v>1802644.664464</v>
      </c>
      <c r="E66" s="24" t="n">
        <f aca="false">E67+E70</f>
        <v>1849226.46331487</v>
      </c>
      <c r="F66" s="33" t="n">
        <f aca="false">F67+F70</f>
        <v>1915867.64048896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3" t="n">
        <f aca="false">D68+D69</f>
        <v>1189123.520564</v>
      </c>
      <c r="E67" s="24" t="n">
        <f aca="false">E68+E69</f>
        <v>1344364.2355237</v>
      </c>
      <c r="F67" s="33" t="n">
        <f aca="false">F68+F69</f>
        <v>1398723.2464217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3" t="n">
        <f aca="false">602018.317+1103.476</f>
        <v>603121.793</v>
      </c>
      <c r="E68" s="24" t="n">
        <f aca="false">702569.397460902+1103.476</f>
        <v>703672.873460902</v>
      </c>
      <c r="F68" s="33" t="n">
        <f aca="false">721099.27346+50.085</f>
        <v>721149.35846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3" t="n">
        <f aca="false">585101.352564+900.375</f>
        <v>586001.727564</v>
      </c>
      <c r="E69" s="33" t="n">
        <f aca="false">639557.33315587+1134.0289069313</f>
        <v>640691.362062801</v>
      </c>
      <c r="F69" s="33" t="n">
        <f aca="false">677528.366372+45.5215897</f>
        <v>677573.8879617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3" t="n">
        <f aca="false">D71+D72</f>
        <v>613521.1439</v>
      </c>
      <c r="E70" s="24" t="n">
        <f aca="false">E71+E72</f>
        <v>504862.227791165</v>
      </c>
      <c r="F70" s="33" t="n">
        <f aca="false">F71+F72</f>
        <v>517144.394067258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f aca="false">334114.536+399.28</f>
        <v>334513.816</v>
      </c>
      <c r="E71" s="24" t="n">
        <f aca="false">265876.649611531+394.755</f>
        <v>266271.404611531</v>
      </c>
      <c r="F71" s="33" t="n">
        <f aca="false">268777.944491785+39.22</f>
        <v>268817.164491785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f aca="false">278780.4469+226.881</f>
        <v>279007.3279</v>
      </c>
      <c r="E72" s="24" t="n">
        <f aca="false">238281.272179634+309.551</f>
        <v>238590.823179634</v>
      </c>
      <c r="F72" s="33" t="n">
        <f aca="false">248294.622575473+32.607</f>
        <v>248327.229575473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3" t="n">
        <f aca="false">D74+D77</f>
        <v>0</v>
      </c>
      <c r="E73" s="24" t="n">
        <f aca="false">E74+E77</f>
        <v>0</v>
      </c>
      <c r="F73" s="33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3" t="n">
        <f aca="false">D75+D76</f>
        <v>0</v>
      </c>
      <c r="E74" s="24" t="n">
        <f aca="false">E75+E76</f>
        <v>0</v>
      </c>
      <c r="F74" s="33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3"/>
      <c r="E75" s="24"/>
      <c r="F75" s="33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3"/>
      <c r="E76" s="24"/>
      <c r="F76" s="33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3" t="n">
        <f aca="false">D78+D79</f>
        <v>0</v>
      </c>
      <c r="E77" s="24" t="n">
        <f aca="false">E78+E79</f>
        <v>0</v>
      </c>
      <c r="F77" s="33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3"/>
      <c r="E78" s="24"/>
      <c r="F78" s="33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3"/>
      <c r="E79" s="24"/>
      <c r="F79" s="33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3" t="n">
        <f aca="false">D81+D84</f>
        <v>0</v>
      </c>
      <c r="E80" s="24" t="n">
        <f aca="false">E81+E84</f>
        <v>0</v>
      </c>
      <c r="F80" s="33" t="n">
        <f aca="false">F81+F84</f>
        <v>0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3" t="n">
        <f aca="false">D82+D83</f>
        <v>0</v>
      </c>
      <c r="E81" s="24" t="n">
        <f aca="false">E82+E83</f>
        <v>0</v>
      </c>
      <c r="F81" s="33" t="n">
        <f aca="false">F82+F83</f>
        <v>0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3"/>
      <c r="E82" s="24"/>
      <c r="F82" s="33"/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3"/>
      <c r="E83" s="24"/>
      <c r="F83" s="33"/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3" t="n">
        <f aca="false">D85+D86</f>
        <v>0</v>
      </c>
      <c r="E84" s="24" t="n">
        <f aca="false">E85+E86</f>
        <v>0</v>
      </c>
      <c r="F84" s="33" t="n">
        <f aca="false">F85+F86</f>
        <v>0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3"/>
      <c r="E85" s="24"/>
      <c r="F85" s="33"/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3"/>
      <c r="E86" s="24"/>
      <c r="F86" s="33"/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3" t="n">
        <f aca="false">D88+D91</f>
        <v>1101963.957865</v>
      </c>
      <c r="E87" s="24" t="n">
        <f aca="false">E88+E91</f>
        <v>1078392.84789529</v>
      </c>
      <c r="F87" s="33" t="n">
        <f aca="false">F88+F91</f>
        <v>1102091.97399152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3" t="n">
        <f aca="false">D89+D90</f>
        <v>550957.474765</v>
      </c>
      <c r="E88" s="24" t="n">
        <f aca="false">E89+E90</f>
        <v>685675.635932573</v>
      </c>
      <c r="F88" s="33" t="n">
        <f aca="false">F89+F90</f>
        <v>695972.890018168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3" t="n">
        <v>279192.274</v>
      </c>
      <c r="E89" s="24" t="n">
        <v>353759.838563192</v>
      </c>
      <c r="F89" s="33" t="n">
        <v>364065.657270459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3" t="n">
        <v>271765.200765</v>
      </c>
      <c r="E90" s="24" t="n">
        <v>331915.79736938</v>
      </c>
      <c r="F90" s="33" t="n">
        <v>331907.232747709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24" t="n">
        <f aca="false">D92+D93</f>
        <v>551006.4831</v>
      </c>
      <c r="E91" s="24" t="n">
        <f aca="false">E92+E93</f>
        <v>392717.21196272</v>
      </c>
      <c r="F91" s="33" t="n">
        <f aca="false">F92+F93</f>
        <v>406119.083973357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3" t="n">
        <v>306918.946</v>
      </c>
      <c r="E92" s="24" t="n">
        <v>197523.971700735</v>
      </c>
      <c r="F92" s="33" t="n">
        <v>207056.866187872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3" t="n">
        <v>244087.5371</v>
      </c>
      <c r="E93" s="24" t="n">
        <v>195193.240261985</v>
      </c>
      <c r="F93" s="33" t="n">
        <v>199062.217785485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39" t="n">
        <f aca="false">D95+D98</f>
        <v>207605.851</v>
      </c>
      <c r="E94" s="39" t="n">
        <f aca="false">E95+E98</f>
        <v>207211.966763693</v>
      </c>
      <c r="F94" s="40" t="n">
        <f aca="false">F95+F98</f>
        <v>209539.649289155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39" t="n">
        <f aca="false">D96+D97</f>
        <v>134665.391</v>
      </c>
      <c r="E95" s="39" t="n">
        <f aca="false">E96+E97</f>
        <v>136609.045282605</v>
      </c>
      <c r="F95" s="40" t="n">
        <f aca="false">F96+F97</f>
        <v>135977.35117745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65119.696</v>
      </c>
      <c r="E96" s="39" t="n">
        <v>65905.553</v>
      </c>
      <c r="F96" s="40" t="n">
        <v>65844.031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69545.695</v>
      </c>
      <c r="E97" s="39" t="n">
        <v>70703.4922826046</v>
      </c>
      <c r="F97" s="40" t="n">
        <v>70133.3201774501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39" t="n">
        <f aca="false">D99+D100</f>
        <v>72940.46</v>
      </c>
      <c r="E98" s="39" t="n">
        <f aca="false">E99+E100</f>
        <v>70602.9214810884</v>
      </c>
      <c r="F98" s="40" t="n">
        <f aca="false">F99+F100</f>
        <v>73562.298111705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41419.739</v>
      </c>
      <c r="E99" s="39" t="n">
        <v>40938.869</v>
      </c>
      <c r="F99" s="40" t="n">
        <v>41361.014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31520.721</v>
      </c>
      <c r="E100" s="39" t="n">
        <v>29664.0524810883</v>
      </c>
      <c r="F100" s="40" t="n">
        <v>32201.2841117049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24" t="n">
        <f aca="false">D102+D105+D108+1067.032+352.592</f>
        <v>6268945.81</v>
      </c>
      <c r="E101" s="24" t="n">
        <f aca="false">E102+E105+E108</f>
        <v>5862572.233</v>
      </c>
      <c r="F101" s="33" t="n">
        <f aca="false">F102+F105+F108</f>
        <v>5722600</v>
      </c>
      <c r="G101" s="41"/>
      <c r="H101" s="42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24" t="n">
        <f aca="false">D103+D104</f>
        <v>3195052.45</v>
      </c>
      <c r="E102" s="24" t="n">
        <f aca="false">E103+E104</f>
        <v>2890835.3307908</v>
      </c>
      <c r="F102" s="33" t="n">
        <f aca="false">F103+F104</f>
        <v>2974092.35565809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3" t="n">
        <v>1676015.283</v>
      </c>
      <c r="E103" s="24" t="n">
        <v>1469566.50894169</v>
      </c>
      <c r="F103" s="33" t="n">
        <v>1492411.27025672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3" t="n">
        <v>1519037.167</v>
      </c>
      <c r="E104" s="24" t="n">
        <v>1421268.82184911</v>
      </c>
      <c r="F104" s="33" t="n">
        <v>1481681.08540137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3" t="n">
        <f aca="false">D106+D107</f>
        <v>2097394.934</v>
      </c>
      <c r="E105" s="24" t="n">
        <f aca="false">E106+E107</f>
        <v>2026563.56825969</v>
      </c>
      <c r="F105" s="33" t="n">
        <f aca="false">F106+F107</f>
        <v>1933941.03104709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3" t="n">
        <v>1077297.33</v>
      </c>
      <c r="E106" s="24" t="n">
        <v>1035096.81772756</v>
      </c>
      <c r="F106" s="33" t="n">
        <v>979674.104626112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3" t="n">
        <v>1020097.604</v>
      </c>
      <c r="E107" s="24" t="n">
        <v>991466.750532131</v>
      </c>
      <c r="F107" s="33" t="n">
        <v>954266.926420974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3" t="n">
        <f aca="false">D109+D110</f>
        <v>975078.802</v>
      </c>
      <c r="E108" s="24" t="n">
        <f aca="false">E109+E110</f>
        <v>945173.333949508</v>
      </c>
      <c r="F108" s="33" t="n">
        <f aca="false">F109+F110</f>
        <v>814566.613294824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3" t="n">
        <v>521430.113</v>
      </c>
      <c r="E109" s="24" t="n">
        <v>482883.814330748</v>
      </c>
      <c r="F109" s="33" t="n">
        <v>430434.625117172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3" t="n">
        <v>453648.689</v>
      </c>
      <c r="E110" s="24" t="n">
        <v>462289.51961876</v>
      </c>
      <c r="F110" s="33" t="n">
        <v>384131.988177652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24" t="n">
        <f aca="false">D112+D113</f>
        <v>2136599.832</v>
      </c>
      <c r="E111" s="24" t="n">
        <f aca="false">E112+E113</f>
        <v>2003864.767</v>
      </c>
      <c r="F111" s="33" t="n">
        <f aca="false">F112+F113</f>
        <v>1993503.967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3" t="n">
        <v>1046753.73</v>
      </c>
      <c r="E112" s="24" t="n">
        <v>1074221.889</v>
      </c>
      <c r="F112" s="33" t="n">
        <v>1068839.089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3" t="n">
        <v>1089846.102</v>
      </c>
      <c r="E113" s="24" t="n">
        <v>929642.878</v>
      </c>
      <c r="F113" s="33" t="n">
        <v>924664.878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1092.014</v>
      </c>
      <c r="E114" s="44" t="n">
        <f aca="false">E116+E117</f>
        <v>1124.133</v>
      </c>
      <c r="F114" s="43" t="n">
        <f aca="false">F116+F117</f>
        <v>1157.325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7" t="n">
        <f aca="false">2.758+1060.1</f>
        <v>1062.858</v>
      </c>
      <c r="E116" s="48" t="n">
        <f aca="false">2.8+1091.903</f>
        <v>1094.703</v>
      </c>
      <c r="F116" s="48" t="n">
        <f aca="false">2.839+1124.66</f>
        <v>1127.499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29.156</v>
      </c>
      <c r="E117" s="49" t="n">
        <f aca="false">E118+E119+E120</f>
        <v>29.43</v>
      </c>
      <c r="F117" s="49" t="n">
        <f aca="false">F118+F119+F120</f>
        <v>29.826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44" t="n">
        <v>28.673</v>
      </c>
      <c r="E118" s="43" t="n">
        <v>28.936</v>
      </c>
      <c r="F118" s="43" t="n">
        <v>29.323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44" t="n">
        <v>0.461</v>
      </c>
      <c r="E119" s="43" t="n">
        <v>0.475</v>
      </c>
      <c r="F119" s="43" t="n">
        <v>0.485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44" t="n">
        <v>0.022</v>
      </c>
      <c r="E120" s="43" t="n">
        <v>0.019</v>
      </c>
      <c r="F120" s="43" t="n">
        <v>0.018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4" t="n">
        <v>0.048</v>
      </c>
      <c r="E121" s="48" t="n">
        <v>0.05</v>
      </c>
      <c r="F121" s="48" t="n">
        <v>0.05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37" t="n">
        <f aca="false">D124+D125</f>
        <v>1199457</v>
      </c>
      <c r="E122" s="51" t="n">
        <f aca="false">E124+E125</f>
        <v>1233351</v>
      </c>
      <c r="F122" s="37" t="n">
        <v>1286068</v>
      </c>
      <c r="H122" s="27"/>
    </row>
    <row r="123" customFormat="false" ht="24.75" hidden="false" customHeight="true" outlineLevel="0" collapsed="false">
      <c r="A123" s="28"/>
      <c r="B123" s="22" t="s">
        <v>37</v>
      </c>
      <c r="C123" s="29"/>
      <c r="D123" s="37"/>
      <c r="E123" s="51"/>
      <c r="F123" s="37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51" t="n">
        <f aca="false">1093722+2562+21376</f>
        <v>1117660</v>
      </c>
      <c r="E124" s="37" t="n">
        <f aca="false">1126534+22085+2610</f>
        <v>1151229</v>
      </c>
      <c r="F124" s="37" t="n">
        <v>1199339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81797</v>
      </c>
      <c r="E125" s="37" t="n">
        <f aca="false">E126+E127+E128</f>
        <v>82122</v>
      </c>
      <c r="F125" s="37" t="n">
        <f aca="false">F126+F127+F128</f>
        <v>82794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51" t="n">
        <v>79601</v>
      </c>
      <c r="E126" s="37" t="n">
        <v>79838</v>
      </c>
      <c r="F126" s="37" t="n">
        <v>80636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51" t="n">
        <v>1800</v>
      </c>
      <c r="E127" s="37" t="n">
        <v>1780</v>
      </c>
      <c r="F127" s="37" t="n">
        <v>1762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51" t="n">
        <v>396</v>
      </c>
      <c r="E128" s="37" t="n">
        <v>504</v>
      </c>
      <c r="F128" s="37" t="n">
        <v>396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51" t="n">
        <v>2698142.97</v>
      </c>
      <c r="E130" s="37" t="n">
        <v>3148355.56</v>
      </c>
      <c r="F130" s="37" t="n">
        <v>4683239.32576462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5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51" t="n">
        <v>1081</v>
      </c>
      <c r="E132" s="37" t="n">
        <v>1166.8</v>
      </c>
      <c r="F132" s="37" t="n">
        <v>1166.8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8" t="n">
        <v>59.092</v>
      </c>
      <c r="E133" s="59" t="n">
        <v>60.259</v>
      </c>
      <c r="F133" s="59" t="n">
        <v>62.669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37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51" t="n">
        <v>376888.6</v>
      </c>
      <c r="E135" s="37" t="n">
        <v>368815.12</v>
      </c>
      <c r="F135" s="37" t="n">
        <v>338098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51" t="n">
        <v>570767.18</v>
      </c>
      <c r="E136" s="37" t="n">
        <v>613844</v>
      </c>
      <c r="F136" s="37" t="n">
        <v>616901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51" t="n">
        <v>301024.96</v>
      </c>
      <c r="E137" s="37" t="n">
        <v>307155.8</v>
      </c>
      <c r="F137" s="37" t="n">
        <v>329267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0.111567460785816</v>
      </c>
      <c r="E139" s="60" t="n">
        <f aca="false">E137/E130*100%</f>
        <v>0.0975607088038049</v>
      </c>
      <c r="F139" s="60" t="n">
        <f aca="false">F137/F130*100%</f>
        <v>0.0703075322648051</v>
      </c>
    </row>
    <row r="140" customFormat="false" ht="176.25" hidden="false" customHeight="true" outlineLevel="0" collapsed="false">
      <c r="A140" s="61" t="s">
        <v>122</v>
      </c>
      <c r="B140" s="62" t="s">
        <v>123</v>
      </c>
      <c r="C140" s="63"/>
      <c r="D140" s="64" t="s">
        <v>124</v>
      </c>
      <c r="E140" s="64" t="s">
        <v>124</v>
      </c>
      <c r="F140" s="64" t="s">
        <v>125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68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32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71" t="s">
        <v>131</v>
      </c>
      <c r="E156" s="71" t="s">
        <v>132</v>
      </c>
      <c r="F156" s="18" t="s">
        <v>131</v>
      </c>
      <c r="G156" s="18" t="s">
        <v>132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75"/>
      <c r="E157" s="76"/>
      <c r="F157" s="76"/>
      <c r="G157" s="75"/>
      <c r="H157" s="77"/>
      <c r="I157" s="74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75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78" t="n">
        <v>213.9</v>
      </c>
      <c r="E159" s="78" t="n">
        <v>396.78</v>
      </c>
      <c r="F159" s="78" t="n">
        <v>396.78</v>
      </c>
      <c r="G159" s="78" t="n">
        <v>414.02</v>
      </c>
      <c r="H159" s="78" t="n">
        <v>414.02</v>
      </c>
      <c r="I159" s="79" t="n">
        <f aca="false">788.41*1.2</f>
        <v>946.092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176.47</v>
      </c>
      <c r="E160" s="21" t="n">
        <v>318.84</v>
      </c>
      <c r="F160" s="21" t="n">
        <v>205.05</v>
      </c>
      <c r="G160" s="21" t="n">
        <v>205.05</v>
      </c>
      <c r="H160" s="21" t="n">
        <v>205.05</v>
      </c>
      <c r="I160" s="79" t="n">
        <v>840.24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6"/>
      <c r="E161" s="75"/>
      <c r="F161" s="75"/>
      <c r="G161" s="75"/>
      <c r="H161" s="75"/>
      <c r="I161" s="74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241.4</v>
      </c>
      <c r="E162" s="80" t="n">
        <v>321.8</v>
      </c>
      <c r="F162" s="80" t="n">
        <v>321.8</v>
      </c>
      <c r="G162" s="80" t="n">
        <v>334.16</v>
      </c>
      <c r="H162" s="80" t="n">
        <v>334.16</v>
      </c>
      <c r="I162" s="80" t="n">
        <v>368.75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166.31</v>
      </c>
      <c r="E163" s="80" t="n">
        <v>217.61</v>
      </c>
      <c r="F163" s="80" t="n">
        <v>217.61</v>
      </c>
      <c r="G163" s="80" t="n">
        <v>221.32</v>
      </c>
      <c r="H163" s="80" t="n">
        <v>221.32</v>
      </c>
      <c r="I163" s="80" t="n">
        <v>264.53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4" t="n">
        <v>79.73</v>
      </c>
      <c r="E164" s="84" t="n">
        <v>167.49</v>
      </c>
      <c r="F164" s="84" t="n">
        <v>167.49</v>
      </c>
      <c r="G164" s="85" t="n">
        <v>152.3</v>
      </c>
      <c r="H164" s="85" t="n">
        <v>152.3</v>
      </c>
      <c r="I164" s="85" t="n">
        <v>210.75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68"/>
      <c r="E166" s="68"/>
      <c r="F166" s="68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9.59"/>
    <col collapsed="false" customWidth="true" hidden="false" outlineLevel="0" max="3" min="3" style="0" width="10.29"/>
    <col collapsed="false" customWidth="true" hidden="false" outlineLevel="0" max="4" min="4" style="0" width="9.59"/>
    <col collapsed="false" customWidth="true" hidden="false" outlineLevel="0" max="5" min="5" style="0" width="10.85"/>
    <col collapsed="false" customWidth="true" hidden="false" outlineLevel="0" max="7" min="6" style="0" width="10.42"/>
    <col collapsed="false" customWidth="true" hidden="false" outlineLevel="0" max="8" min="8" style="0" width="10.58"/>
    <col collapsed="false" customWidth="true" hidden="false" outlineLevel="0" max="1025" min="9" style="0" width="8.67"/>
  </cols>
  <sheetData>
    <row r="1" customFormat="false" ht="15" hidden="false" customHeight="false" outlineLevel="0" collapsed="false">
      <c r="A1" s="0" t="s">
        <v>198</v>
      </c>
    </row>
    <row r="2" customFormat="false" ht="15" hidden="false" customHeight="false" outlineLevel="0" collapsed="false">
      <c r="A2" s="0" t="s">
        <v>199</v>
      </c>
      <c r="B2" s="130" t="s">
        <v>200</v>
      </c>
      <c r="C2" s="130" t="s">
        <v>201</v>
      </c>
      <c r="D2" s="130" t="s">
        <v>202</v>
      </c>
      <c r="E2" s="130" t="s">
        <v>203</v>
      </c>
      <c r="F2" s="130" t="s">
        <v>204</v>
      </c>
      <c r="G2" s="130" t="s">
        <v>205</v>
      </c>
      <c r="H2" s="130" t="s">
        <v>206</v>
      </c>
    </row>
    <row r="3" customFormat="false" ht="15" hidden="false" customHeight="false" outlineLevel="0" collapsed="false">
      <c r="B3" s="130"/>
      <c r="C3" s="130"/>
      <c r="D3" s="130"/>
      <c r="E3" s="130"/>
      <c r="F3" s="130"/>
      <c r="G3" s="130"/>
    </row>
    <row r="4" customFormat="false" ht="15" hidden="false" customHeight="false" outlineLevel="0" collapsed="false">
      <c r="A4" s="131" t="n">
        <v>230</v>
      </c>
      <c r="B4" s="132" t="n">
        <f aca="false">SUM(B5:B6)</f>
        <v>93954.569</v>
      </c>
      <c r="C4" s="132" t="n">
        <f aca="false">SUM(C5:C6)</f>
        <v>94817.001</v>
      </c>
      <c r="D4" s="132" t="n">
        <f aca="false">SUM(D5:D6)</f>
        <v>85544.188</v>
      </c>
      <c r="E4" s="132" t="n">
        <f aca="false">SUM(E5:E6)</f>
        <v>83365.69</v>
      </c>
      <c r="F4" s="132" t="n">
        <f aca="false">SUM(F5:F6)</f>
        <v>81688.748</v>
      </c>
      <c r="G4" s="132" t="n">
        <f aca="false">SUM(G5:G6)</f>
        <v>84793.806</v>
      </c>
      <c r="H4" s="132" t="n">
        <f aca="false">SUM(H5:H6)</f>
        <v>524164.002</v>
      </c>
    </row>
    <row r="5" customFormat="false" ht="15" hidden="false" customHeight="false" outlineLevel="0" collapsed="false">
      <c r="A5" s="133" t="n">
        <v>240</v>
      </c>
      <c r="B5" s="134" t="n">
        <v>63414.979</v>
      </c>
      <c r="C5" s="0" t="n">
        <v>62824.475</v>
      </c>
      <c r="D5" s="134" t="n">
        <v>60921.551</v>
      </c>
      <c r="E5" s="0" t="n">
        <v>60673.743</v>
      </c>
      <c r="F5" s="130" t="n">
        <v>59450.932</v>
      </c>
      <c r="G5" s="135" t="n">
        <v>60000.002</v>
      </c>
      <c r="H5" s="134" t="n">
        <f aca="false">SUM(B5:G5)</f>
        <v>367285.682</v>
      </c>
    </row>
    <row r="6" customFormat="false" ht="15" hidden="false" customHeight="false" outlineLevel="0" collapsed="false">
      <c r="A6" s="133" t="n">
        <v>250</v>
      </c>
      <c r="B6" s="134" t="n">
        <v>30539.59</v>
      </c>
      <c r="C6" s="0" t="n">
        <v>31992.526</v>
      </c>
      <c r="D6" s="134" t="n">
        <v>24622.637</v>
      </c>
      <c r="E6" s="0" t="n">
        <v>22691.947</v>
      </c>
      <c r="F6" s="130" t="n">
        <v>22237.816</v>
      </c>
      <c r="G6" s="135" t="n">
        <v>24793.804</v>
      </c>
      <c r="H6" s="134" t="n">
        <f aca="false">SUM(B6:G6)</f>
        <v>156878.32</v>
      </c>
    </row>
    <row r="8" customFormat="false" ht="15" hidden="false" customHeight="false" outlineLevel="0" collapsed="false">
      <c r="A8" s="136" t="n">
        <v>290</v>
      </c>
      <c r="B8" s="132" t="n">
        <f aca="false">SUM(B9:B10)</f>
        <v>5786.094</v>
      </c>
      <c r="C8" s="132" t="n">
        <f aca="false">SUM(C9:C10)</f>
        <v>6078.132</v>
      </c>
      <c r="D8" s="132" t="n">
        <f aca="false">SUM(D9:D10)</f>
        <v>5467.031</v>
      </c>
      <c r="E8" s="132" t="n">
        <f aca="false">SUM(E9:E10)</f>
        <v>4399.802</v>
      </c>
      <c r="F8" s="132" t="n">
        <f aca="false">SUM(F9:F10)</f>
        <v>4197.52</v>
      </c>
      <c r="G8" s="137" t="n">
        <f aca="false">SUM(G9:G10)</f>
        <v>3738.724</v>
      </c>
      <c r="H8" s="138" t="n">
        <f aca="false">SUM(H9:H10)</f>
        <v>29667.303</v>
      </c>
    </row>
    <row r="9" customFormat="false" ht="15" hidden="false" customHeight="false" outlineLevel="0" collapsed="false">
      <c r="A9" s="133" t="n">
        <v>300</v>
      </c>
      <c r="B9" s="130" t="n">
        <v>1182.072</v>
      </c>
      <c r="C9" s="130" t="n">
        <v>738.729</v>
      </c>
      <c r="D9" s="135" t="n">
        <v>1005.11</v>
      </c>
      <c r="E9" s="130" t="n">
        <v>1137.797</v>
      </c>
      <c r="F9" s="130" t="n">
        <v>988.567</v>
      </c>
      <c r="G9" s="130" t="n">
        <v>678.626</v>
      </c>
      <c r="H9" s="139" t="n">
        <f aca="false">SUM(B9:G9)</f>
        <v>5730.901</v>
      </c>
    </row>
    <row r="10" customFormat="false" ht="15" hidden="false" customHeight="false" outlineLevel="0" collapsed="false">
      <c r="A10" s="133" t="n">
        <v>310</v>
      </c>
      <c r="B10" s="130" t="n">
        <v>4604.022</v>
      </c>
      <c r="C10" s="130" t="n">
        <v>5339.403</v>
      </c>
      <c r="D10" s="130" t="n">
        <v>4461.921</v>
      </c>
      <c r="E10" s="130" t="n">
        <v>3262.005</v>
      </c>
      <c r="F10" s="130" t="n">
        <v>3208.953</v>
      </c>
      <c r="G10" s="130" t="n">
        <v>3060.098</v>
      </c>
      <c r="H10" s="139" t="n">
        <f aca="false">SUM(B10:G10)</f>
        <v>23936.402</v>
      </c>
    </row>
    <row r="11" customFormat="false" ht="15" hidden="false" customHeight="false" outlineLevel="0" collapsed="false">
      <c r="B11" s="130"/>
      <c r="C11" s="130"/>
      <c r="D11" s="130"/>
      <c r="E11" s="130"/>
      <c r="F11" s="130"/>
    </row>
    <row r="12" customFormat="false" ht="15" hidden="false" customHeight="false" outlineLevel="0" collapsed="false">
      <c r="A12" s="136" t="n">
        <v>400</v>
      </c>
      <c r="B12" s="132" t="n">
        <f aca="false">SUM(B13:B14)</f>
        <v>84190.807</v>
      </c>
      <c r="C12" s="132" t="n">
        <f aca="false">SUM(C13:C14)</f>
        <v>79702.701</v>
      </c>
      <c r="D12" s="132" t="n">
        <f aca="false">SUM(D13:D14)</f>
        <v>69206.577</v>
      </c>
      <c r="E12" s="132" t="n">
        <f aca="false">SUM(E13:E14)</f>
        <v>66638.81</v>
      </c>
      <c r="F12" s="132" t="n">
        <f aca="false">SUM(F13:F14)</f>
        <v>65692.414</v>
      </c>
      <c r="G12" s="137" t="n">
        <f aca="false">SUM(G13:G14)</f>
        <v>71239.159</v>
      </c>
      <c r="H12" s="140" t="n">
        <f aca="false">SUM(H13:H14)</f>
        <v>436670.468</v>
      </c>
    </row>
    <row r="13" customFormat="false" ht="15" hidden="false" customHeight="false" outlineLevel="0" collapsed="false">
      <c r="A13" s="133" t="n">
        <v>410</v>
      </c>
      <c r="B13" s="134" t="n">
        <v>40863.314</v>
      </c>
      <c r="C13" s="0" t="n">
        <v>39853.771</v>
      </c>
      <c r="D13" s="134" t="n">
        <v>37942.372</v>
      </c>
      <c r="E13" s="130" t="n">
        <v>37979.807</v>
      </c>
      <c r="F13" s="141" t="n">
        <v>42486.032</v>
      </c>
      <c r="G13" s="141" t="n">
        <v>45970.731</v>
      </c>
      <c r="H13" s="142" t="n">
        <f aca="false">SUM(B13:G13)</f>
        <v>245096.027</v>
      </c>
    </row>
    <row r="14" customFormat="false" ht="15" hidden="false" customHeight="false" outlineLevel="0" collapsed="false">
      <c r="A14" s="133" t="n">
        <v>420</v>
      </c>
      <c r="B14" s="135" t="n">
        <v>43327.493</v>
      </c>
      <c r="C14" s="135" t="n">
        <v>39848.93</v>
      </c>
      <c r="D14" s="134" t="n">
        <v>31264.205</v>
      </c>
      <c r="E14" s="130" t="n">
        <v>28659.003</v>
      </c>
      <c r="F14" s="141" t="n">
        <v>23206.382</v>
      </c>
      <c r="G14" s="141" t="n">
        <v>25268.428</v>
      </c>
      <c r="H14" s="142" t="n">
        <f aca="false">SUM(B14:G14)</f>
        <v>191574.441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6"/>
  <sheetViews>
    <sheetView showFormulas="false" showGridLines="true" showRowColHeaders="true" showZeros="true" rightToLeft="false" tabSelected="true" showOutlineSymbols="true" defaultGridColor="true" view="normal" topLeftCell="B133" colorId="64" zoomScale="87" zoomScaleNormal="87" zoomScalePageLayoutView="100" workbookViewId="0">
      <selection pane="topLeft" activeCell="F141" activeCellId="0" sqref="F141"/>
    </sheetView>
  </sheetViews>
  <sheetFormatPr defaultRowHeight="14.2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86" width="20.57"/>
    <col collapsed="false" customWidth="true" hidden="false" outlineLevel="0" max="6" min="5" style="2" width="20.57"/>
    <col collapsed="false" customWidth="true" hidden="false" outlineLevel="0" max="9" min="7" style="1" width="15.29"/>
    <col collapsed="false" customWidth="true" hidden="false" outlineLevel="0" max="12" min="10" style="1" width="16.14"/>
    <col collapsed="false" customWidth="true" hidden="false" outlineLevel="0" max="13" min="13" style="1" width="10.13"/>
    <col collapsed="false" customWidth="true" hidden="false" outlineLevel="0" max="1025" min="14" style="1" width="9.13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139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87"/>
    </row>
    <row r="12" customFormat="false" ht="15" hidden="false" customHeight="false" outlineLevel="0" collapsed="false">
      <c r="A12" s="8"/>
      <c r="C12" s="8"/>
      <c r="D12" s="88"/>
    </row>
    <row r="13" customFormat="false" ht="15" hidden="false" customHeight="false" outlineLevel="0" collapsed="false">
      <c r="A13" s="7"/>
      <c r="C13" s="7"/>
      <c r="D13" s="87"/>
    </row>
    <row r="14" customFormat="false" ht="15" hidden="false" customHeight="false" outlineLevel="0" collapsed="false">
      <c r="A14" s="7"/>
      <c r="C14" s="7"/>
      <c r="D14" s="8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140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  <c r="E44" s="89"/>
    </row>
    <row r="45" customFormat="false" ht="14.25" hidden="false" customHeight="false" outlineLevel="0" collapsed="false">
      <c r="A45" s="6"/>
      <c r="E45" s="89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90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20" t="s">
        <v>141</v>
      </c>
      <c r="E48" s="19" t="s">
        <v>142</v>
      </c>
      <c r="F48" s="20" t="s">
        <v>143</v>
      </c>
    </row>
    <row r="49" customFormat="false" ht="29.25" hidden="false" customHeight="true" outlineLevel="0" collapsed="false">
      <c r="A49" s="21" t="s">
        <v>34</v>
      </c>
      <c r="B49" s="22" t="s">
        <v>35</v>
      </c>
      <c r="C49" s="23" t="s">
        <v>36</v>
      </c>
      <c r="D49" s="51" t="n">
        <f aca="false">D51+D101+D111</f>
        <v>12132052.757</v>
      </c>
      <c r="E49" s="25" t="n">
        <f aca="false">E51+E101+E111</f>
        <v>11394625.299994</v>
      </c>
      <c r="F49" s="25" t="n">
        <f aca="false">F51+F101+F111</f>
        <v>11649000</v>
      </c>
      <c r="G49" s="26"/>
      <c r="I49" s="27"/>
    </row>
    <row r="50" customFormat="false" ht="29.25" hidden="false" customHeight="true" outlineLevel="0" collapsed="false">
      <c r="A50" s="28"/>
      <c r="B50" s="22" t="s">
        <v>37</v>
      </c>
      <c r="C50" s="29"/>
      <c r="D50" s="92"/>
      <c r="E50" s="45"/>
      <c r="F50" s="45"/>
    </row>
    <row r="51" customFormat="false" ht="29.25" hidden="false" customHeight="true" outlineLevel="0" collapsed="false">
      <c r="A51" s="21" t="s">
        <v>38</v>
      </c>
      <c r="B51" s="22" t="s">
        <v>39</v>
      </c>
      <c r="C51" s="23" t="s">
        <v>36</v>
      </c>
      <c r="D51" s="37" t="n">
        <f aca="false">D53+D54+D56+D57</f>
        <v>3962823.43</v>
      </c>
      <c r="E51" s="37" t="n">
        <f aca="false">E53+E54+E56+E57</f>
        <v>3696535.199994</v>
      </c>
      <c r="F51" s="37" t="n">
        <f aca="false">F53+F54+F56+F57</f>
        <v>4060000</v>
      </c>
      <c r="G51" s="34"/>
      <c r="H51" s="35"/>
      <c r="I51" s="36"/>
      <c r="J51" s="36"/>
      <c r="L51" s="27"/>
      <c r="M51" s="27"/>
    </row>
    <row r="52" customFormat="false" ht="29.25" hidden="false" customHeight="true" outlineLevel="0" collapsed="false">
      <c r="A52" s="21" t="s">
        <v>40</v>
      </c>
      <c r="B52" s="22" t="s">
        <v>41</v>
      </c>
      <c r="C52" s="23" t="s">
        <v>36</v>
      </c>
      <c r="D52" s="37" t="n">
        <f aca="false">D60+D67+D88+D81+D74+D95</f>
        <v>2126635.581</v>
      </c>
      <c r="E52" s="37" t="n">
        <f aca="false">E60+E67+E88+E81</f>
        <v>1824322.00898917</v>
      </c>
      <c r="F52" s="37" t="n">
        <f aca="false">F60+F67+F88+F81</f>
        <v>1975900</v>
      </c>
      <c r="G52" s="93"/>
      <c r="H52" s="93"/>
      <c r="L52" s="27"/>
      <c r="M52" s="27"/>
    </row>
    <row r="53" customFormat="false" ht="29.25" hidden="false" customHeight="true" outlineLevel="0" collapsed="false">
      <c r="A53" s="28"/>
      <c r="B53" s="22" t="s">
        <v>42</v>
      </c>
      <c r="C53" s="23" t="s">
        <v>36</v>
      </c>
      <c r="D53" s="37" t="n">
        <f aca="false">D61+D75+D68+D82+D89+D96+458.3</f>
        <v>1072372.602</v>
      </c>
      <c r="E53" s="37" t="n">
        <f aca="false">E61+E68+E89+E82+E96</f>
        <v>995328.000000438</v>
      </c>
      <c r="F53" s="37" t="n">
        <f aca="false">F61+F68+F89+F82+F96</f>
        <v>1070040</v>
      </c>
      <c r="G53" s="94"/>
      <c r="H53" s="94"/>
      <c r="L53" s="38"/>
      <c r="M53" s="27"/>
    </row>
    <row r="54" customFormat="false" ht="29.25" hidden="false" customHeight="true" outlineLevel="0" collapsed="false">
      <c r="A54" s="28"/>
      <c r="B54" s="22" t="s">
        <v>43</v>
      </c>
      <c r="C54" s="23" t="s">
        <v>36</v>
      </c>
      <c r="D54" s="37" t="n">
        <f aca="false">D62+D76+D69+D83+D90+D97</f>
        <v>1054721.279</v>
      </c>
      <c r="E54" s="37" t="n">
        <f aca="false">E62+E69+E90+E83+E97</f>
        <v>980486.299997866</v>
      </c>
      <c r="F54" s="37" t="n">
        <f aca="false">F62+F69+F90+F83+F97</f>
        <v>1053440</v>
      </c>
      <c r="L54" s="38"/>
      <c r="M54" s="27"/>
    </row>
    <row r="55" customFormat="false" ht="29.25" hidden="false" customHeight="true" outlineLevel="0" collapsed="false">
      <c r="A55" s="21" t="s">
        <v>44</v>
      </c>
      <c r="B55" s="22" t="s">
        <v>45</v>
      </c>
      <c r="C55" s="23" t="s">
        <v>36</v>
      </c>
      <c r="D55" s="37" t="n">
        <f aca="false">D63+D70+D91+D84+D77+J134</f>
        <v>1711592.467</v>
      </c>
      <c r="E55" s="37" t="n">
        <f aca="false">E63+E70+E91+E84</f>
        <v>1599845.30636665</v>
      </c>
      <c r="F55" s="37" t="n">
        <f aca="false">F63+F70+F91+F84</f>
        <v>1818770</v>
      </c>
      <c r="L55" s="27"/>
      <c r="M55" s="27"/>
    </row>
    <row r="56" customFormat="false" ht="29.25" hidden="false" customHeight="true" outlineLevel="0" collapsed="false">
      <c r="A56" s="28"/>
      <c r="B56" s="22" t="s">
        <v>42</v>
      </c>
      <c r="C56" s="23" t="s">
        <v>36</v>
      </c>
      <c r="D56" s="37" t="n">
        <f aca="false">D64+D71+D92+D85+D99</f>
        <v>989327.478</v>
      </c>
      <c r="E56" s="37" t="n">
        <f aca="false">E64+E71+E92+E85+E99</f>
        <v>929124.299997563</v>
      </c>
      <c r="F56" s="37" t="n">
        <f aca="false">F64+F71+F92+F85+F99</f>
        <v>1051250</v>
      </c>
      <c r="L56" s="27"/>
      <c r="M56" s="27"/>
    </row>
    <row r="57" customFormat="false" ht="29.25" hidden="false" customHeight="true" outlineLevel="0" collapsed="false">
      <c r="A57" s="28"/>
      <c r="B57" s="22" t="s">
        <v>43</v>
      </c>
      <c r="C57" s="23" t="s">
        <v>36</v>
      </c>
      <c r="D57" s="37" t="n">
        <f aca="false">D65+D72+D93+D86+D100</f>
        <v>846402.071</v>
      </c>
      <c r="E57" s="37" t="n">
        <f aca="false">E65+E72+E93+E86+E100</f>
        <v>791596.599998135</v>
      </c>
      <c r="F57" s="37" t="n">
        <f aca="false">F65+F72+F93+F86+F100</f>
        <v>885270</v>
      </c>
      <c r="L57" s="27"/>
      <c r="M57" s="27"/>
    </row>
    <row r="58" customFormat="false" ht="29.25" hidden="false" customHeight="true" outlineLevel="0" collapsed="false">
      <c r="A58" s="28"/>
      <c r="B58" s="22" t="s">
        <v>37</v>
      </c>
      <c r="C58" s="23" t="s">
        <v>36</v>
      </c>
      <c r="D58" s="45"/>
      <c r="E58" s="45"/>
      <c r="F58" s="45"/>
      <c r="L58" s="27"/>
      <c r="M58" s="27"/>
    </row>
    <row r="59" customFormat="false" ht="29.25" hidden="false" customHeight="true" outlineLevel="0" collapsed="false">
      <c r="A59" s="21" t="s">
        <v>46</v>
      </c>
      <c r="B59" s="22" t="s">
        <v>47</v>
      </c>
      <c r="C59" s="23" t="s">
        <v>36</v>
      </c>
      <c r="D59" s="37" t="n">
        <f aca="false">D60+D63</f>
        <v>381714.248</v>
      </c>
      <c r="E59" s="37" t="n">
        <f aca="false">E60+E63</f>
        <v>352785.914322574</v>
      </c>
      <c r="F59" s="37" t="n">
        <f aca="false">F60+F63</f>
        <v>371280</v>
      </c>
      <c r="G59" s="36"/>
      <c r="L59" s="27"/>
      <c r="M59" s="27"/>
    </row>
    <row r="60" customFormat="false" ht="29.25" hidden="false" customHeight="true" outlineLevel="0" collapsed="false">
      <c r="A60" s="21" t="s">
        <v>48</v>
      </c>
      <c r="B60" s="22" t="s">
        <v>41</v>
      </c>
      <c r="C60" s="23" t="s">
        <v>36</v>
      </c>
      <c r="D60" s="37" t="n">
        <f aca="false">D61+D62</f>
        <v>221244.326</v>
      </c>
      <c r="E60" s="37" t="n">
        <f aca="false">E61+E62</f>
        <v>203684.483778717</v>
      </c>
      <c r="F60" s="37" t="n">
        <f aca="false">F61+F62</f>
        <v>223580</v>
      </c>
      <c r="G60" s="36"/>
      <c r="L60" s="27"/>
      <c r="M60" s="27"/>
    </row>
    <row r="61" customFormat="false" ht="29.25" hidden="false" customHeight="true" outlineLevel="0" collapsed="false">
      <c r="A61" s="28"/>
      <c r="B61" s="22" t="s">
        <v>42</v>
      </c>
      <c r="C61" s="23" t="s">
        <v>36</v>
      </c>
      <c r="D61" s="37" t="n">
        <f aca="false">103997.475+7622.14</f>
        <v>111619.615</v>
      </c>
      <c r="E61" s="37" t="n">
        <v>102251.969763013</v>
      </c>
      <c r="F61" s="37" t="n">
        <v>112200</v>
      </c>
      <c r="G61" s="36"/>
      <c r="L61" s="27"/>
      <c r="M61" s="27"/>
    </row>
    <row r="62" customFormat="false" ht="29.25" hidden="false" customHeight="true" outlineLevel="0" collapsed="false">
      <c r="A62" s="28"/>
      <c r="B62" s="22" t="s">
        <v>43</v>
      </c>
      <c r="C62" s="23" t="s">
        <v>36</v>
      </c>
      <c r="D62" s="37" t="n">
        <f aca="false">102178.762+7490.249-44.3</f>
        <v>109624.711</v>
      </c>
      <c r="E62" s="37" t="n">
        <v>101432.514015704</v>
      </c>
      <c r="F62" s="37" t="n">
        <v>111380</v>
      </c>
      <c r="G62" s="36"/>
      <c r="L62" s="27"/>
      <c r="M62" s="27"/>
    </row>
    <row r="63" customFormat="false" ht="29.25" hidden="false" customHeight="true" outlineLevel="0" collapsed="false">
      <c r="A63" s="21" t="s">
        <v>49</v>
      </c>
      <c r="B63" s="22" t="s">
        <v>45</v>
      </c>
      <c r="C63" s="23" t="s">
        <v>36</v>
      </c>
      <c r="D63" s="37" t="n">
        <f aca="false">D64+D65</f>
        <v>160469.922</v>
      </c>
      <c r="E63" s="37" t="n">
        <f aca="false">E64+E65</f>
        <v>149101.430543857</v>
      </c>
      <c r="F63" s="37" t="n">
        <f aca="false">F64+F65</f>
        <v>147700</v>
      </c>
      <c r="G63" s="36"/>
      <c r="L63" s="27"/>
      <c r="M63" s="27"/>
    </row>
    <row r="64" customFormat="false" ht="29.25" hidden="false" customHeight="true" outlineLevel="0" collapsed="false">
      <c r="A64" s="28"/>
      <c r="B64" s="22" t="s">
        <v>42</v>
      </c>
      <c r="C64" s="23" t="s">
        <v>36</v>
      </c>
      <c r="D64" s="37" t="n">
        <f aca="false">94513.255+1996.025</f>
        <v>96509.28</v>
      </c>
      <c r="E64" s="37" t="n">
        <v>90837.43179394</v>
      </c>
      <c r="F64" s="37" t="n">
        <v>79330.0000000001</v>
      </c>
      <c r="L64" s="27"/>
      <c r="M64" s="27"/>
    </row>
    <row r="65" customFormat="false" ht="29.25" hidden="false" customHeight="true" outlineLevel="0" collapsed="false">
      <c r="A65" s="28"/>
      <c r="B65" s="22" t="s">
        <v>43</v>
      </c>
      <c r="C65" s="23" t="s">
        <v>36</v>
      </c>
      <c r="D65" s="37" t="n">
        <f aca="false">62312.14+1648.502</f>
        <v>63960.642</v>
      </c>
      <c r="E65" s="37" t="n">
        <v>58263.9987499169</v>
      </c>
      <c r="F65" s="37" t="n">
        <v>68370</v>
      </c>
      <c r="G65" s="27"/>
      <c r="L65" s="27"/>
      <c r="M65" s="27"/>
    </row>
    <row r="66" customFormat="false" ht="29.25" hidden="false" customHeight="true" outlineLevel="0" collapsed="false">
      <c r="A66" s="21" t="s">
        <v>50</v>
      </c>
      <c r="B66" s="22" t="s">
        <v>51</v>
      </c>
      <c r="C66" s="23" t="s">
        <v>36</v>
      </c>
      <c r="D66" s="37" t="n">
        <f aca="false">D67+D70</f>
        <v>1937969.217</v>
      </c>
      <c r="E66" s="37" t="n">
        <f aca="false">E67+E70</f>
        <v>1815257.46778122</v>
      </c>
      <c r="F66" s="37" t="n">
        <f aca="false">F67+F70</f>
        <v>1824190</v>
      </c>
      <c r="L66" s="27"/>
      <c r="M66" s="27"/>
    </row>
    <row r="67" customFormat="false" ht="29.25" hidden="false" customHeight="true" outlineLevel="0" collapsed="false">
      <c r="A67" s="21" t="s">
        <v>52</v>
      </c>
      <c r="B67" s="22" t="s">
        <v>41</v>
      </c>
      <c r="C67" s="23" t="s">
        <v>36</v>
      </c>
      <c r="D67" s="37" t="n">
        <f aca="false">D68+D69</f>
        <v>1217697.096</v>
      </c>
      <c r="E67" s="37" t="n">
        <f aca="false">E68+E69</f>
        <v>1136591.71503038</v>
      </c>
      <c r="F67" s="37" t="n">
        <f aca="false">F68+F69</f>
        <v>1168200</v>
      </c>
      <c r="L67" s="27"/>
      <c r="M67" s="27"/>
    </row>
    <row r="68" customFormat="false" ht="29.25" hidden="false" customHeight="true" outlineLevel="0" collapsed="false">
      <c r="A68" s="28"/>
      <c r="B68" s="22" t="s">
        <v>42</v>
      </c>
      <c r="C68" s="23" t="s">
        <v>36</v>
      </c>
      <c r="D68" s="37" t="n">
        <f aca="false">424686.789+189643.092</f>
        <v>614329.881</v>
      </c>
      <c r="E68" s="37" t="n">
        <f aca="false">573309.486160954-775.086</f>
        <v>572534.400160954</v>
      </c>
      <c r="F68" s="37" t="n">
        <f aca="false">613720-24880</f>
        <v>588840</v>
      </c>
      <c r="L68" s="27"/>
      <c r="M68" s="27"/>
    </row>
    <row r="69" customFormat="false" ht="29.25" hidden="false" customHeight="true" outlineLevel="0" collapsed="false">
      <c r="A69" s="28"/>
      <c r="B69" s="22" t="s">
        <v>43</v>
      </c>
      <c r="C69" s="23" t="s">
        <v>36</v>
      </c>
      <c r="D69" s="37" t="n">
        <f aca="false">417037.848+186329.367</f>
        <v>603367.215</v>
      </c>
      <c r="E69" s="37" t="n">
        <f aca="false">564753.579869429-696.265</f>
        <v>564057.314869429</v>
      </c>
      <c r="F69" s="37" t="n">
        <f aca="false">602610-23250</f>
        <v>579360</v>
      </c>
      <c r="L69" s="27"/>
      <c r="M69" s="27"/>
    </row>
    <row r="70" customFormat="false" ht="29.25" hidden="false" customHeight="true" outlineLevel="0" collapsed="false">
      <c r="A70" s="21" t="s">
        <v>53</v>
      </c>
      <c r="B70" s="22" t="s">
        <v>45</v>
      </c>
      <c r="C70" s="23" t="s">
        <v>36</v>
      </c>
      <c r="D70" s="37" t="n">
        <f aca="false">D71+D72</f>
        <v>720272.121</v>
      </c>
      <c r="E70" s="37" t="n">
        <f aca="false">E71+E72</f>
        <v>678665.752750838</v>
      </c>
      <c r="F70" s="37" t="n">
        <f aca="false">F71+F72</f>
        <v>655990</v>
      </c>
      <c r="L70" s="27"/>
      <c r="M70" s="27"/>
    </row>
    <row r="71" customFormat="false" ht="29.25" hidden="false" customHeight="true" outlineLevel="0" collapsed="false">
      <c r="A71" s="28"/>
      <c r="B71" s="22" t="s">
        <v>42</v>
      </c>
      <c r="C71" s="23" t="s">
        <v>36</v>
      </c>
      <c r="D71" s="37" t="n">
        <f aca="false">280219.393+84053.04</f>
        <v>364272.433</v>
      </c>
      <c r="E71" s="37" t="n">
        <f aca="false">349733.101384248-6834.638</f>
        <v>342898.463384248</v>
      </c>
      <c r="F71" s="37" t="n">
        <f aca="false">416150-86940</f>
        <v>329210</v>
      </c>
      <c r="L71" s="27"/>
      <c r="M71" s="27"/>
    </row>
    <row r="72" customFormat="false" ht="29.25" hidden="false" customHeight="true" outlineLevel="0" collapsed="false">
      <c r="A72" s="28"/>
      <c r="B72" s="22" t="s">
        <v>43</v>
      </c>
      <c r="C72" s="23" t="s">
        <v>36</v>
      </c>
      <c r="D72" s="37" t="n">
        <f aca="false">279360.278+76639.41</f>
        <v>355999.688</v>
      </c>
      <c r="E72" s="37" t="n">
        <f aca="false">342112.06136659-6344.772</f>
        <v>335767.28936659</v>
      </c>
      <c r="F72" s="37" t="n">
        <f aca="false">391500-64720</f>
        <v>326780</v>
      </c>
      <c r="G72" s="38"/>
      <c r="L72" s="27"/>
      <c r="M72" s="27"/>
    </row>
    <row r="73" customFormat="false" ht="29.25" hidden="false" customHeight="true" outlineLevel="0" collapsed="false">
      <c r="A73" s="21" t="s">
        <v>54</v>
      </c>
      <c r="B73" s="22" t="s">
        <v>55</v>
      </c>
      <c r="C73" s="23" t="s">
        <v>36</v>
      </c>
      <c r="D73" s="37" t="n">
        <f aca="false">D74+D77</f>
        <v>0</v>
      </c>
      <c r="E73" s="37" t="n">
        <f aca="false">E74+E77</f>
        <v>0</v>
      </c>
      <c r="F73" s="37" t="n">
        <f aca="false">F74+F77</f>
        <v>0</v>
      </c>
      <c r="L73" s="27"/>
      <c r="M73" s="27"/>
    </row>
    <row r="74" customFormat="false" ht="29.25" hidden="false" customHeight="true" outlineLevel="0" collapsed="false">
      <c r="A74" s="21" t="s">
        <v>56</v>
      </c>
      <c r="B74" s="22" t="s">
        <v>41</v>
      </c>
      <c r="C74" s="23" t="s">
        <v>36</v>
      </c>
      <c r="D74" s="37" t="n">
        <f aca="false">D75+D76</f>
        <v>0</v>
      </c>
      <c r="E74" s="37" t="n">
        <f aca="false">E75+E76</f>
        <v>0</v>
      </c>
      <c r="F74" s="37" t="n">
        <f aca="false">F75+F76</f>
        <v>0</v>
      </c>
      <c r="L74" s="27"/>
      <c r="M74" s="27"/>
    </row>
    <row r="75" customFormat="false" ht="29.25" hidden="false" customHeight="true" outlineLevel="0" collapsed="false">
      <c r="A75" s="28"/>
      <c r="B75" s="22" t="s">
        <v>42</v>
      </c>
      <c r="C75" s="23" t="s">
        <v>36</v>
      </c>
      <c r="D75" s="37"/>
      <c r="E75" s="37"/>
      <c r="F75" s="37"/>
      <c r="L75" s="27"/>
      <c r="M75" s="27"/>
    </row>
    <row r="76" customFormat="false" ht="29.25" hidden="false" customHeight="true" outlineLevel="0" collapsed="false">
      <c r="A76" s="28"/>
      <c r="B76" s="22" t="s">
        <v>43</v>
      </c>
      <c r="C76" s="23" t="s">
        <v>36</v>
      </c>
      <c r="D76" s="37"/>
      <c r="E76" s="37"/>
      <c r="F76" s="37"/>
      <c r="L76" s="27"/>
      <c r="M76" s="27"/>
    </row>
    <row r="77" customFormat="false" ht="29.25" hidden="false" customHeight="true" outlineLevel="0" collapsed="false">
      <c r="A77" s="21" t="s">
        <v>57</v>
      </c>
      <c r="B77" s="22" t="s">
        <v>45</v>
      </c>
      <c r="C77" s="23" t="s">
        <v>36</v>
      </c>
      <c r="D77" s="37" t="n">
        <f aca="false">D78+D79</f>
        <v>0</v>
      </c>
      <c r="E77" s="37" t="n">
        <f aca="false">E78+E79</f>
        <v>0</v>
      </c>
      <c r="F77" s="37" t="n">
        <f aca="false">F78+F79</f>
        <v>0</v>
      </c>
      <c r="L77" s="27"/>
      <c r="M77" s="27"/>
    </row>
    <row r="78" customFormat="false" ht="29.25" hidden="false" customHeight="true" outlineLevel="0" collapsed="false">
      <c r="A78" s="28"/>
      <c r="B78" s="22" t="s">
        <v>42</v>
      </c>
      <c r="C78" s="23" t="s">
        <v>36</v>
      </c>
      <c r="D78" s="37"/>
      <c r="E78" s="37"/>
      <c r="F78" s="37"/>
      <c r="L78" s="27"/>
      <c r="M78" s="27"/>
    </row>
    <row r="79" customFormat="false" ht="29.25" hidden="false" customHeight="true" outlineLevel="0" collapsed="false">
      <c r="A79" s="28"/>
      <c r="B79" s="22" t="s">
        <v>43</v>
      </c>
      <c r="C79" s="23" t="s">
        <v>36</v>
      </c>
      <c r="D79" s="37"/>
      <c r="E79" s="37"/>
      <c r="F79" s="37"/>
      <c r="L79" s="27"/>
      <c r="M79" s="27"/>
    </row>
    <row r="80" customFormat="false" ht="29.25" hidden="false" customHeight="true" outlineLevel="0" collapsed="false">
      <c r="A80" s="21" t="s">
        <v>58</v>
      </c>
      <c r="B80" s="22" t="s">
        <v>59</v>
      </c>
      <c r="C80" s="23" t="s">
        <v>36</v>
      </c>
      <c r="D80" s="37" t="n">
        <f aca="false">D81+D84</f>
        <v>14755.296</v>
      </c>
      <c r="E80" s="37" t="n">
        <f aca="false">E81+E84</f>
        <v>14650.761</v>
      </c>
      <c r="F80" s="37" t="n">
        <f aca="false">F81+F84</f>
        <v>199790</v>
      </c>
      <c r="L80" s="27"/>
      <c r="M80" s="27"/>
    </row>
    <row r="81" customFormat="false" ht="29.25" hidden="false" customHeight="true" outlineLevel="0" collapsed="false">
      <c r="A81" s="21" t="s">
        <v>60</v>
      </c>
      <c r="B81" s="22" t="s">
        <v>41</v>
      </c>
      <c r="C81" s="23" t="s">
        <v>36</v>
      </c>
      <c r="D81" s="37" t="n">
        <f aca="false">D82+D83</f>
        <v>1448.137</v>
      </c>
      <c r="E81" s="37" t="n">
        <f aca="false">E82+E83</f>
        <v>1471.351</v>
      </c>
      <c r="F81" s="37" t="n">
        <f aca="false">F82+F83</f>
        <v>48130</v>
      </c>
      <c r="L81" s="27"/>
      <c r="M81" s="27"/>
    </row>
    <row r="82" customFormat="false" ht="29.25" hidden="false" customHeight="true" outlineLevel="0" collapsed="false">
      <c r="A82" s="28"/>
      <c r="B82" s="22" t="s">
        <v>42</v>
      </c>
      <c r="C82" s="23" t="s">
        <v>36</v>
      </c>
      <c r="D82" s="37" t="n">
        <v>789.959</v>
      </c>
      <c r="E82" s="37" t="n">
        <v>775.086</v>
      </c>
      <c r="F82" s="37" t="n">
        <v>24880</v>
      </c>
      <c r="L82" s="27"/>
      <c r="M82" s="27"/>
    </row>
    <row r="83" customFormat="false" ht="29.25" hidden="false" customHeight="true" outlineLevel="0" collapsed="false">
      <c r="A83" s="28"/>
      <c r="B83" s="22" t="s">
        <v>43</v>
      </c>
      <c r="C83" s="23" t="s">
        <v>36</v>
      </c>
      <c r="D83" s="37" t="n">
        <v>658.178</v>
      </c>
      <c r="E83" s="37" t="n">
        <v>696.265</v>
      </c>
      <c r="F83" s="37" t="n">
        <v>23250</v>
      </c>
      <c r="L83" s="27"/>
      <c r="M83" s="27"/>
    </row>
    <row r="84" customFormat="false" ht="29.25" hidden="false" customHeight="true" outlineLevel="0" collapsed="false">
      <c r="A84" s="21" t="s">
        <v>61</v>
      </c>
      <c r="B84" s="22" t="s">
        <v>45</v>
      </c>
      <c r="C84" s="23" t="s">
        <v>36</v>
      </c>
      <c r="D84" s="37" t="n">
        <f aca="false">D85+D86</f>
        <v>13307.159</v>
      </c>
      <c r="E84" s="37" t="n">
        <f aca="false">E85+E86</f>
        <v>13179.41</v>
      </c>
      <c r="F84" s="37" t="n">
        <f aca="false">F85+F86</f>
        <v>151660</v>
      </c>
      <c r="L84" s="27"/>
      <c r="M84" s="27"/>
    </row>
    <row r="85" customFormat="false" ht="29.25" hidden="false" customHeight="true" outlineLevel="0" collapsed="false">
      <c r="A85" s="28"/>
      <c r="B85" s="22" t="s">
        <v>42</v>
      </c>
      <c r="C85" s="23" t="s">
        <v>36</v>
      </c>
      <c r="D85" s="37" t="n">
        <v>6999.168</v>
      </c>
      <c r="E85" s="37" t="n">
        <v>6834.638</v>
      </c>
      <c r="F85" s="37" t="n">
        <v>86940</v>
      </c>
      <c r="L85" s="27"/>
      <c r="M85" s="27"/>
    </row>
    <row r="86" customFormat="false" ht="29.25" hidden="false" customHeight="true" outlineLevel="0" collapsed="false">
      <c r="A86" s="28"/>
      <c r="B86" s="22" t="s">
        <v>43</v>
      </c>
      <c r="C86" s="23" t="s">
        <v>36</v>
      </c>
      <c r="D86" s="37" t="n">
        <v>6307.991</v>
      </c>
      <c r="E86" s="37" t="n">
        <v>6344.772</v>
      </c>
      <c r="F86" s="37" t="n">
        <v>64720</v>
      </c>
      <c r="L86" s="27"/>
      <c r="M86" s="27"/>
    </row>
    <row r="87" customFormat="false" ht="29.25" hidden="false" customHeight="true" outlineLevel="0" collapsed="false">
      <c r="A87" s="21" t="s">
        <v>62</v>
      </c>
      <c r="B87" s="22" t="s">
        <v>63</v>
      </c>
      <c r="C87" s="23" t="s">
        <v>36</v>
      </c>
      <c r="D87" s="37" t="n">
        <f aca="false">D88+D91</f>
        <v>1349021.182</v>
      </c>
      <c r="E87" s="37" t="n">
        <f aca="false">E88+E91</f>
        <v>1241473.17225203</v>
      </c>
      <c r="F87" s="37" t="n">
        <f aca="false">F88+F91</f>
        <v>1399410</v>
      </c>
      <c r="L87" s="27"/>
      <c r="M87" s="27"/>
    </row>
    <row r="88" customFormat="false" ht="29.25" hidden="false" customHeight="true" outlineLevel="0" collapsed="false">
      <c r="A88" s="21" t="s">
        <v>64</v>
      </c>
      <c r="B88" s="22" t="s">
        <v>41</v>
      </c>
      <c r="C88" s="23" t="s">
        <v>36</v>
      </c>
      <c r="D88" s="37" t="n">
        <f aca="false">D89+D90</f>
        <v>531477.917</v>
      </c>
      <c r="E88" s="37" t="n">
        <f aca="false">E89+E90</f>
        <v>482574.459180073</v>
      </c>
      <c r="F88" s="37" t="n">
        <f aca="false">F89+F90</f>
        <v>535990</v>
      </c>
      <c r="L88" s="27"/>
      <c r="M88" s="27"/>
    </row>
    <row r="89" customFormat="false" ht="29.25" hidden="false" customHeight="true" outlineLevel="0" collapsed="false">
      <c r="A89" s="28"/>
      <c r="B89" s="22" t="s">
        <v>42</v>
      </c>
      <c r="C89" s="23" t="s">
        <v>36</v>
      </c>
      <c r="D89" s="37" t="n">
        <f aca="false">264981.294+3837.514+16.776+151.486</f>
        <v>268987.07</v>
      </c>
      <c r="E89" s="37" t="n">
        <v>245056.535286023</v>
      </c>
      <c r="F89" s="37" t="n">
        <v>270330</v>
      </c>
      <c r="L89" s="27"/>
      <c r="M89" s="27"/>
    </row>
    <row r="90" customFormat="false" ht="29.25" hidden="false" customHeight="true" outlineLevel="0" collapsed="false">
      <c r="A90" s="28"/>
      <c r="B90" s="22" t="s">
        <v>43</v>
      </c>
      <c r="C90" s="23" t="s">
        <v>36</v>
      </c>
      <c r="D90" s="37" t="n">
        <f aca="false">258772.929+3717.918</f>
        <v>262490.847</v>
      </c>
      <c r="E90" s="37" t="n">
        <v>237517.923894051</v>
      </c>
      <c r="F90" s="37" t="n">
        <v>265660</v>
      </c>
      <c r="G90" s="27"/>
      <c r="L90" s="27"/>
      <c r="M90" s="27"/>
    </row>
    <row r="91" customFormat="false" ht="29.25" hidden="false" customHeight="true" outlineLevel="0" collapsed="false">
      <c r="A91" s="21" t="s">
        <v>65</v>
      </c>
      <c r="B91" s="22" t="s">
        <v>45</v>
      </c>
      <c r="C91" s="23" t="s">
        <v>36</v>
      </c>
      <c r="D91" s="51" t="n">
        <f aca="false">D92+D93</f>
        <v>817543.265</v>
      </c>
      <c r="E91" s="37" t="n">
        <f aca="false">E92+E93</f>
        <v>758898.713071956</v>
      </c>
      <c r="F91" s="37" t="n">
        <f aca="false">F92+F93</f>
        <v>863420</v>
      </c>
      <c r="G91" s="27"/>
      <c r="L91" s="27"/>
      <c r="M91" s="27"/>
    </row>
    <row r="92" customFormat="false" ht="29.25" hidden="false" customHeight="true" outlineLevel="0" collapsed="false">
      <c r="A92" s="28"/>
      <c r="B92" s="22" t="s">
        <v>42</v>
      </c>
      <c r="C92" s="23" t="s">
        <v>36</v>
      </c>
      <c r="D92" s="37" t="n">
        <f aca="false">447371.167+6371.758</f>
        <v>453742.925</v>
      </c>
      <c r="E92" s="37" t="n">
        <v>422176.655842264</v>
      </c>
      <c r="F92" s="37" t="n">
        <v>491300</v>
      </c>
      <c r="L92" s="27"/>
      <c r="M92" s="27"/>
    </row>
    <row r="93" customFormat="false" ht="29.25" hidden="false" customHeight="true" outlineLevel="0" collapsed="false">
      <c r="A93" s="28"/>
      <c r="B93" s="22" t="s">
        <v>43</v>
      </c>
      <c r="C93" s="23" t="s">
        <v>36</v>
      </c>
      <c r="D93" s="37" t="n">
        <f aca="false">358366.516+5433.824</f>
        <v>363800.34</v>
      </c>
      <c r="E93" s="37" t="n">
        <v>336722.057229693</v>
      </c>
      <c r="F93" s="37" t="n">
        <v>372120</v>
      </c>
      <c r="G93" s="27"/>
      <c r="H93" s="27"/>
      <c r="L93" s="27"/>
      <c r="M93" s="27"/>
    </row>
    <row r="94" customFormat="false" ht="29.25" hidden="false" customHeight="true" outlineLevel="0" collapsed="false">
      <c r="A94" s="21" t="s">
        <v>66</v>
      </c>
      <c r="B94" s="22" t="s">
        <v>67</v>
      </c>
      <c r="C94" s="23" t="s">
        <v>36</v>
      </c>
      <c r="D94" s="95" t="n">
        <f aca="false">D95+D98</f>
        <v>278905.187</v>
      </c>
      <c r="E94" s="96" t="n">
        <f aca="false">E95+E98</f>
        <v>272367.884638177</v>
      </c>
      <c r="F94" s="96" t="n">
        <f aca="false">F95+F98</f>
        <v>265330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95" t="n">
        <f aca="false">D96+D97</f>
        <v>154768.105</v>
      </c>
      <c r="E95" s="96" t="n">
        <f aca="false">E96+E97</f>
        <v>151492.29100913</v>
      </c>
      <c r="F95" s="96" t="n">
        <f aca="false">F96+F97</f>
        <v>147580</v>
      </c>
      <c r="L95" s="27"/>
      <c r="M95" s="27"/>
    </row>
    <row r="96" customFormat="false" ht="29.25" hidden="false" customHeight="true" outlineLevel="0" collapsed="false">
      <c r="A96" s="28"/>
      <c r="B96" s="22" t="s">
        <v>42</v>
      </c>
      <c r="C96" s="23" t="s">
        <v>36</v>
      </c>
      <c r="D96" s="37" t="n">
        <f aca="false">76130.222+45.141+12.414</f>
        <v>76187.777</v>
      </c>
      <c r="E96" s="96" t="n">
        <v>74710.0087904479</v>
      </c>
      <c r="F96" s="96" t="n">
        <v>73790</v>
      </c>
      <c r="G96" s="38"/>
      <c r="L96" s="27"/>
      <c r="M96" s="27"/>
    </row>
    <row r="97" customFormat="false" ht="29.25" hidden="false" customHeight="true" outlineLevel="0" collapsed="false">
      <c r="A97" s="28"/>
      <c r="B97" s="22" t="s">
        <v>43</v>
      </c>
      <c r="C97" s="23" t="s">
        <v>36</v>
      </c>
      <c r="D97" s="37" t="n">
        <f aca="false">78264.246+316.082</f>
        <v>78580.328</v>
      </c>
      <c r="E97" s="96" t="n">
        <v>76782.2822186825</v>
      </c>
      <c r="F97" s="96" t="n">
        <v>73790</v>
      </c>
      <c r="G97" s="27"/>
    </row>
    <row r="98" customFormat="false" ht="29.25" hidden="false" customHeight="true" outlineLevel="0" collapsed="false">
      <c r="A98" s="21" t="s">
        <v>69</v>
      </c>
      <c r="B98" s="22" t="s">
        <v>45</v>
      </c>
      <c r="C98" s="23" t="s">
        <v>36</v>
      </c>
      <c r="D98" s="95" t="n">
        <f aca="false">D99+D100</f>
        <v>124137.082</v>
      </c>
      <c r="E98" s="96" t="n">
        <f aca="false">E99+E100</f>
        <v>120875.593629046</v>
      </c>
      <c r="F98" s="96" t="n">
        <f aca="false">F99+F100</f>
        <v>117750</v>
      </c>
    </row>
    <row r="99" customFormat="false" ht="29.25" hidden="false" customHeight="true" outlineLevel="0" collapsed="false">
      <c r="A99" s="28"/>
      <c r="B99" s="22" t="s">
        <v>42</v>
      </c>
      <c r="C99" s="23" t="s">
        <v>36</v>
      </c>
      <c r="D99" s="37" t="n">
        <f aca="false">67742.304+38.571+22.797</f>
        <v>67803.672</v>
      </c>
      <c r="E99" s="96" t="n">
        <v>66377.1109771111</v>
      </c>
      <c r="F99" s="96" t="n">
        <v>64470</v>
      </c>
    </row>
    <row r="100" customFormat="false" ht="29.25" hidden="false" customHeight="true" outlineLevel="0" collapsed="false">
      <c r="A100" s="28"/>
      <c r="B100" s="22" t="s">
        <v>43</v>
      </c>
      <c r="C100" s="23" t="s">
        <v>36</v>
      </c>
      <c r="D100" s="37" t="n">
        <f aca="false">56141.535+191.875</f>
        <v>56333.41</v>
      </c>
      <c r="E100" s="96" t="n">
        <v>54498.482651935</v>
      </c>
      <c r="F100" s="96" t="n">
        <v>53280</v>
      </c>
      <c r="G100" s="94"/>
      <c r="H100" s="94"/>
      <c r="I100" s="94"/>
      <c r="J100" s="94"/>
      <c r="K100" s="94"/>
      <c r="L100" s="94"/>
    </row>
    <row r="101" customFormat="false" ht="29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51" t="n">
        <f aca="false">D102+D105+D108</f>
        <v>6137865.236</v>
      </c>
      <c r="E101" s="37" t="n">
        <f aca="false">E102+E105+E108</f>
        <v>5789731.9</v>
      </c>
      <c r="F101" s="37" t="n">
        <f aca="false">F102+F105+F108</f>
        <v>5635000</v>
      </c>
      <c r="G101" s="94"/>
      <c r="H101" s="94"/>
      <c r="J101" s="94"/>
    </row>
    <row r="102" customFormat="false" ht="29.25" hidden="false" customHeight="true" outlineLevel="0" collapsed="false">
      <c r="A102" s="28"/>
      <c r="B102" s="22" t="s">
        <v>72</v>
      </c>
      <c r="C102" s="23" t="s">
        <v>36</v>
      </c>
      <c r="D102" s="51" t="n">
        <f aca="false">D103+D104</f>
        <v>3278015.452</v>
      </c>
      <c r="E102" s="37" t="n">
        <f aca="false">E103+E104</f>
        <v>3149749.55598275</v>
      </c>
      <c r="F102" s="37" t="n">
        <f aca="false">F103+F104</f>
        <v>3093607.005</v>
      </c>
      <c r="G102" s="94"/>
      <c r="H102" s="94"/>
      <c r="J102" s="94"/>
    </row>
    <row r="103" customFormat="false" ht="29.25" hidden="false" customHeight="true" outlineLevel="0" collapsed="false">
      <c r="A103" s="28"/>
      <c r="B103" s="22" t="s">
        <v>42</v>
      </c>
      <c r="C103" s="23" t="s">
        <v>36</v>
      </c>
      <c r="D103" s="37" t="n">
        <v>1698569.524</v>
      </c>
      <c r="E103" s="37" t="n">
        <v>1602900.12974168</v>
      </c>
      <c r="F103" s="37" t="n">
        <v>1615201.318</v>
      </c>
      <c r="G103" s="94"/>
      <c r="H103" s="94"/>
      <c r="J103" s="94"/>
    </row>
    <row r="104" customFormat="false" ht="29.25" hidden="false" customHeight="true" outlineLevel="0" collapsed="false">
      <c r="A104" s="28"/>
      <c r="B104" s="22" t="s">
        <v>43</v>
      </c>
      <c r="C104" s="23" t="s">
        <v>36</v>
      </c>
      <c r="D104" s="37" t="n">
        <v>1579445.928</v>
      </c>
      <c r="E104" s="37" t="n">
        <v>1546849.42624107</v>
      </c>
      <c r="F104" s="37" t="n">
        <v>1478405.687</v>
      </c>
    </row>
    <row r="105" customFormat="false" ht="29.25" hidden="false" customHeight="true" outlineLevel="0" collapsed="false">
      <c r="A105" s="28"/>
      <c r="B105" s="22" t="s">
        <v>73</v>
      </c>
      <c r="C105" s="23" t="s">
        <v>36</v>
      </c>
      <c r="D105" s="37" t="n">
        <f aca="false">D106+D107</f>
        <v>2031224.141</v>
      </c>
      <c r="E105" s="37" t="n">
        <f aca="false">E106+E107</f>
        <v>1995910.14314125</v>
      </c>
      <c r="F105" s="37" t="n">
        <f aca="false">F106+F107</f>
        <v>1670937.375</v>
      </c>
    </row>
    <row r="106" customFormat="false" ht="29.25" hidden="false" customHeight="true" outlineLevel="0" collapsed="false">
      <c r="A106" s="28"/>
      <c r="B106" s="22" t="s">
        <v>42</v>
      </c>
      <c r="C106" s="23" t="s">
        <v>36</v>
      </c>
      <c r="D106" s="37" t="n">
        <v>1039726.872</v>
      </c>
      <c r="E106" s="37" t="n">
        <v>1027355.85265554</v>
      </c>
      <c r="F106" s="37" t="n">
        <v>855441.474</v>
      </c>
    </row>
    <row r="107" customFormat="false" ht="29.25" hidden="false" customHeight="true" outlineLevel="0" collapsed="false">
      <c r="A107" s="28"/>
      <c r="B107" s="22" t="s">
        <v>43</v>
      </c>
      <c r="C107" s="23" t="s">
        <v>36</v>
      </c>
      <c r="D107" s="37" t="n">
        <v>991497.269</v>
      </c>
      <c r="E107" s="37" t="n">
        <v>968554.290485712</v>
      </c>
      <c r="F107" s="37" t="n">
        <v>815495.901</v>
      </c>
    </row>
    <row r="108" customFormat="false" ht="29.25" hidden="false" customHeight="true" outlineLevel="0" collapsed="false">
      <c r="A108" s="28"/>
      <c r="B108" s="22" t="s">
        <v>74</v>
      </c>
      <c r="C108" s="23" t="s">
        <v>36</v>
      </c>
      <c r="D108" s="37" t="n">
        <f aca="false">D109+D110</f>
        <v>828625.643</v>
      </c>
      <c r="E108" s="37" t="n">
        <f aca="false">E109+E110</f>
        <v>644072.200875998</v>
      </c>
      <c r="F108" s="37" t="n">
        <f aca="false">F109+F110</f>
        <v>870455.62</v>
      </c>
    </row>
    <row r="109" customFormat="false" ht="29.25" hidden="false" customHeight="true" outlineLevel="0" collapsed="false">
      <c r="A109" s="28"/>
      <c r="B109" s="22" t="s">
        <v>42</v>
      </c>
      <c r="C109" s="23" t="s">
        <v>36</v>
      </c>
      <c r="D109" s="37" t="n">
        <v>447685.103</v>
      </c>
      <c r="E109" s="37" t="n">
        <v>339200.41760278</v>
      </c>
      <c r="F109" s="37" t="n">
        <v>442867.208</v>
      </c>
    </row>
    <row r="110" customFormat="false" ht="29.25" hidden="false" customHeight="true" outlineLevel="0" collapsed="false">
      <c r="A110" s="28"/>
      <c r="B110" s="22" t="s">
        <v>43</v>
      </c>
      <c r="C110" s="23" t="s">
        <v>36</v>
      </c>
      <c r="D110" s="37" t="n">
        <v>380940.54</v>
      </c>
      <c r="E110" s="37" t="n">
        <v>304871.783273218</v>
      </c>
      <c r="F110" s="37" t="n">
        <v>427588.412</v>
      </c>
    </row>
    <row r="111" customFormat="false" ht="29.25" hidden="false" customHeight="true" outlineLevel="0" collapsed="false">
      <c r="A111" s="21" t="s">
        <v>75</v>
      </c>
      <c r="B111" s="22" t="s">
        <v>76</v>
      </c>
      <c r="C111" s="23" t="s">
        <v>36</v>
      </c>
      <c r="D111" s="51" t="n">
        <f aca="false">D112+D113</f>
        <v>2031364.091</v>
      </c>
      <c r="E111" s="37" t="n">
        <f aca="false">E112+E113</f>
        <v>1908358.2</v>
      </c>
      <c r="F111" s="37" t="n">
        <v>1954000</v>
      </c>
    </row>
    <row r="112" customFormat="false" ht="29.25" hidden="false" customHeight="true" outlineLevel="0" collapsed="false">
      <c r="A112" s="28"/>
      <c r="B112" s="22" t="s">
        <v>77</v>
      </c>
      <c r="C112" s="23" t="s">
        <v>36</v>
      </c>
      <c r="D112" s="37" t="n">
        <v>984436.285</v>
      </c>
      <c r="E112" s="37" t="n">
        <v>935115.6</v>
      </c>
      <c r="F112" s="37" t="n">
        <v>937580</v>
      </c>
      <c r="J112" s="27"/>
    </row>
    <row r="113" customFormat="false" ht="29.25" hidden="false" customHeight="true" outlineLevel="0" collapsed="false">
      <c r="A113" s="28"/>
      <c r="B113" s="22" t="s">
        <v>78</v>
      </c>
      <c r="C113" s="23" t="s">
        <v>36</v>
      </c>
      <c r="D113" s="37" t="n">
        <v>1046927.806</v>
      </c>
      <c r="E113" s="37" t="n">
        <v>973242.6</v>
      </c>
      <c r="F113" s="37" t="n">
        <f aca="false">F111-F112</f>
        <v>1016420</v>
      </c>
      <c r="G113" s="42"/>
    </row>
    <row r="114" customFormat="false" ht="29.25" hidden="false" customHeight="tru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1211.073</v>
      </c>
      <c r="E114" s="43" t="n">
        <f aca="false">E116+E117</f>
        <v>1234.696</v>
      </c>
      <c r="F114" s="43" t="n">
        <f aca="false">F116+F117</f>
        <v>1258.902</v>
      </c>
    </row>
    <row r="115" customFormat="false" ht="29.25" hidden="false" customHeight="true" outlineLevel="0" collapsed="false">
      <c r="A115" s="28"/>
      <c r="B115" s="22" t="s">
        <v>37</v>
      </c>
      <c r="C115" s="29"/>
      <c r="D115" s="45"/>
      <c r="E115" s="45"/>
      <c r="F115" s="45"/>
    </row>
    <row r="116" customFormat="false" ht="29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2.84+1177.424</f>
        <v>1180.264</v>
      </c>
      <c r="E116" s="48" t="n">
        <f aca="false">2.82+1200.88</f>
        <v>1203.7</v>
      </c>
      <c r="F116" s="48" t="n">
        <f aca="false">2.81+1224.804</f>
        <v>1227.614</v>
      </c>
    </row>
    <row r="117" customFormat="false" ht="29.25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30.809</v>
      </c>
      <c r="E117" s="49" t="n">
        <f aca="false">E118+E119+E120</f>
        <v>30.996</v>
      </c>
      <c r="F117" s="49" t="n">
        <f aca="false">F118+F119+F120</f>
        <v>31.288</v>
      </c>
    </row>
    <row r="118" customFormat="false" ht="29.25" hidden="false" customHeight="true" outlineLevel="0" collapsed="false">
      <c r="A118" s="28"/>
      <c r="B118" s="22" t="s">
        <v>72</v>
      </c>
      <c r="C118" s="23" t="s">
        <v>81</v>
      </c>
      <c r="D118" s="43" t="n">
        <v>30.298</v>
      </c>
      <c r="E118" s="43" t="n">
        <v>30.457</v>
      </c>
      <c r="F118" s="43" t="n">
        <v>30.743</v>
      </c>
    </row>
    <row r="119" customFormat="false" ht="29.25" hidden="false" customHeight="true" outlineLevel="0" collapsed="false">
      <c r="A119" s="28"/>
      <c r="B119" s="22" t="s">
        <v>73</v>
      </c>
      <c r="C119" s="23" t="s">
        <v>81</v>
      </c>
      <c r="D119" s="43" t="n">
        <v>0.491</v>
      </c>
      <c r="E119" s="43" t="n">
        <v>0.521</v>
      </c>
      <c r="F119" s="43" t="n">
        <v>0.528</v>
      </c>
    </row>
    <row r="120" customFormat="false" ht="29.25" hidden="false" customHeight="true" outlineLevel="0" collapsed="false">
      <c r="A120" s="28"/>
      <c r="B120" s="22" t="s">
        <v>74</v>
      </c>
      <c r="C120" s="23" t="s">
        <v>81</v>
      </c>
      <c r="D120" s="43" t="n">
        <v>0.02</v>
      </c>
      <c r="E120" s="43" t="n">
        <v>0.018</v>
      </c>
      <c r="F120" s="43" t="n">
        <v>0.017</v>
      </c>
    </row>
    <row r="121" customFormat="false" ht="29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0.027</v>
      </c>
      <c r="E121" s="48" t="n">
        <v>0.014</v>
      </c>
      <c r="F121" s="48" t="n">
        <v>0.014</v>
      </c>
    </row>
    <row r="122" customFormat="false" ht="29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51" t="n">
        <f aca="false">D124+D125+3578+24821</f>
        <v>1334040</v>
      </c>
      <c r="E122" s="37" t="n">
        <v>1309176</v>
      </c>
      <c r="F122" s="37" t="n">
        <v>1326600</v>
      </c>
      <c r="H122" s="27"/>
    </row>
    <row r="123" customFormat="false" ht="29.25" hidden="false" customHeight="true" outlineLevel="0" collapsed="false">
      <c r="A123" s="28"/>
      <c r="B123" s="22" t="s">
        <v>37</v>
      </c>
      <c r="C123" s="29"/>
      <c r="D123" s="97"/>
      <c r="E123" s="98"/>
      <c r="F123" s="98"/>
    </row>
    <row r="124" customFormat="false" ht="29.25" hidden="false" customHeight="true" outlineLevel="0" collapsed="false">
      <c r="A124" s="21" t="s">
        <v>91</v>
      </c>
      <c r="B124" s="50" t="s">
        <v>92</v>
      </c>
      <c r="C124" s="23" t="s">
        <v>90</v>
      </c>
      <c r="D124" s="37" t="n">
        <v>1217783</v>
      </c>
      <c r="E124" s="37" t="n">
        <f aca="false">796210+335014+50407</f>
        <v>1181631</v>
      </c>
      <c r="F124" s="37" t="n">
        <f aca="false">810212+336943+54911</f>
        <v>1202066</v>
      </c>
    </row>
    <row r="125" customFormat="false" ht="29.2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87858</v>
      </c>
      <c r="E125" s="37" t="n">
        <f aca="false">E126+E127+E128</f>
        <v>87287</v>
      </c>
      <c r="F125" s="37" t="n">
        <f aca="false">F126+F127+F128</f>
        <v>89889</v>
      </c>
    </row>
    <row r="126" customFormat="false" ht="29.25" hidden="false" customHeight="true" outlineLevel="0" collapsed="false">
      <c r="A126" s="28"/>
      <c r="B126" s="52" t="s">
        <v>72</v>
      </c>
      <c r="C126" s="53" t="s">
        <v>90</v>
      </c>
      <c r="D126" s="37" t="n">
        <v>85938</v>
      </c>
      <c r="E126" s="37" t="n">
        <v>85359</v>
      </c>
      <c r="F126" s="37" t="n">
        <v>87943</v>
      </c>
    </row>
    <row r="127" customFormat="false" ht="29.25" hidden="false" customHeight="true" outlineLevel="0" collapsed="false">
      <c r="A127" s="28"/>
      <c r="B127" s="52" t="s">
        <v>73</v>
      </c>
      <c r="C127" s="53" t="s">
        <v>90</v>
      </c>
      <c r="D127" s="37" t="n">
        <v>1668</v>
      </c>
      <c r="E127" s="37" t="n">
        <v>1690</v>
      </c>
      <c r="F127" s="37" t="n">
        <v>1703</v>
      </c>
    </row>
    <row r="128" customFormat="false" ht="29.25" hidden="false" customHeight="true" outlineLevel="0" collapsed="false">
      <c r="A128" s="28"/>
      <c r="B128" s="52" t="s">
        <v>74</v>
      </c>
      <c r="C128" s="53" t="s">
        <v>90</v>
      </c>
      <c r="D128" s="37" t="n">
        <v>252</v>
      </c>
      <c r="E128" s="37" t="n">
        <v>238</v>
      </c>
      <c r="F128" s="37" t="n">
        <v>243</v>
      </c>
    </row>
    <row r="129" customFormat="false" ht="29.2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29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4806582.16</v>
      </c>
      <c r="E130" s="37" t="n">
        <v>5527569.48</v>
      </c>
      <c r="F130" s="37" t="n">
        <v>8143686</v>
      </c>
    </row>
    <row r="131" customFormat="false" ht="29.25" hidden="false" customHeight="tru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954.4</v>
      </c>
      <c r="E132" s="37" t="n">
        <v>1070.85</v>
      </c>
      <c r="F132" s="37" t="n">
        <v>1070.85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89.274</v>
      </c>
      <c r="E133" s="59" t="n">
        <v>97.377</v>
      </c>
      <c r="F133" s="59" t="n">
        <v>101.561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564315.66</v>
      </c>
      <c r="E135" s="37" t="n">
        <v>878181.346</v>
      </c>
      <c r="F135" s="37" t="n">
        <f aca="false">254174.838+822010.412+150881.578</f>
        <v>1227066.828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764688.47</v>
      </c>
      <c r="E136" s="37" t="n">
        <v>822439.54</v>
      </c>
      <c r="F136" s="37" t="n">
        <f aca="false">212364.057+646233.14+124887.948</f>
        <v>983485.145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357122.58</v>
      </c>
      <c r="E137" s="37" t="n">
        <v>416331.55</v>
      </c>
      <c r="F137" s="37" t="n">
        <f aca="false">95181.046+261925.611+84754.062</f>
        <v>441860.719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0.0742986529954582</v>
      </c>
      <c r="E139" s="60" t="n">
        <f aca="false">E137/E130*100%</f>
        <v>0.0753190984765333</v>
      </c>
      <c r="F139" s="60" t="n">
        <f aca="false">F137/F130*100%</f>
        <v>0.0542580741693626</v>
      </c>
    </row>
    <row r="140" customFormat="false" ht="210.75" hidden="false" customHeight="true" outlineLevel="0" collapsed="false">
      <c r="A140" s="61" t="s">
        <v>122</v>
      </c>
      <c r="B140" s="62" t="s">
        <v>123</v>
      </c>
      <c r="C140" s="63"/>
      <c r="D140" s="64" t="s">
        <v>144</v>
      </c>
      <c r="E140" s="99" t="s">
        <v>145</v>
      </c>
      <c r="F140" s="100" t="s">
        <v>146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101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142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102" t="s">
        <v>131</v>
      </c>
      <c r="E156" s="71" t="s">
        <v>147</v>
      </c>
      <c r="F156" s="18" t="s">
        <v>131</v>
      </c>
      <c r="G156" s="18" t="s">
        <v>147</v>
      </c>
      <c r="H156" s="72" t="s">
        <v>148</v>
      </c>
      <c r="I156" s="16" t="s">
        <v>149</v>
      </c>
    </row>
    <row r="157" customFormat="false" ht="14.25" hidden="false" customHeight="false" outlineLevel="0" collapsed="false">
      <c r="A157" s="73"/>
      <c r="B157" s="50"/>
      <c r="C157" s="74"/>
      <c r="D157" s="56"/>
      <c r="E157" s="76"/>
      <c r="F157" s="76"/>
      <c r="G157" s="75"/>
      <c r="H157" s="77"/>
      <c r="I157" s="103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56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150</v>
      </c>
      <c r="C159" s="73" t="s">
        <v>135</v>
      </c>
      <c r="D159" s="78" t="n">
        <v>595.17</v>
      </c>
      <c r="E159" s="78" t="n">
        <v>973.14</v>
      </c>
      <c r="F159" s="78" t="n">
        <v>810.95</v>
      </c>
      <c r="G159" s="78" t="n">
        <v>871.77</v>
      </c>
      <c r="H159" s="78" t="n">
        <v>871.77</v>
      </c>
      <c r="I159" s="79" t="n">
        <v>1938.72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227.09</v>
      </c>
      <c r="E160" s="21" t="n">
        <v>227.09</v>
      </c>
      <c r="F160" s="21" t="n">
        <v>187.75</v>
      </c>
      <c r="G160" s="21" t="n">
        <v>187.75</v>
      </c>
      <c r="H160" s="21" t="n">
        <v>187.75</v>
      </c>
      <c r="I160" s="79" t="n">
        <v>778.03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5"/>
      <c r="F161" s="75"/>
      <c r="G161" s="75"/>
      <c r="H161" s="75"/>
      <c r="I161" s="76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368.88</v>
      </c>
      <c r="E162" s="80" t="n">
        <v>430.07</v>
      </c>
      <c r="F162" s="80" t="n">
        <v>430.07</v>
      </c>
      <c r="G162" s="80" t="n">
        <v>318.18</v>
      </c>
      <c r="H162" s="80" t="n">
        <v>318.18</v>
      </c>
      <c r="I162" s="104" t="n">
        <v>1020.98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309.16</v>
      </c>
      <c r="E163" s="80" t="n">
        <v>423.73</v>
      </c>
      <c r="F163" s="80" t="n">
        <v>423.73</v>
      </c>
      <c r="G163" s="104" t="n">
        <v>261</v>
      </c>
      <c r="H163" s="104" t="n">
        <v>261</v>
      </c>
      <c r="I163" s="104" t="n">
        <v>1074.5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5" t="n">
        <v>265.48</v>
      </c>
      <c r="E164" s="85" t="n">
        <v>337.77</v>
      </c>
      <c r="F164" s="85" t="n">
        <v>337.77</v>
      </c>
      <c r="G164" s="85" t="n">
        <v>261</v>
      </c>
      <c r="H164" s="85" t="n">
        <v>261</v>
      </c>
      <c r="I164" s="85" t="n">
        <v>560.032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101"/>
      <c r="E166" s="68"/>
      <c r="F166" s="68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E140" r:id="rId2" display="Предложения по корректировке инвестиционной программы ПАО &quot;Красноярскэнергосбыт на 2024-2028 гг     http://www.krskstate.ru/dat/bin/art_attach/22415_materiali_proekta_ipr_pao_krasnoyrskqnergosbit_ot_11.04.2023.zip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6"/>
  <sheetViews>
    <sheetView showFormulas="false" showGridLines="true" showRowColHeaders="true" showZeros="true" rightToLeft="false" tabSelected="false" showOutlineSymbols="true" defaultGridColor="true" view="normal" topLeftCell="A19" colorId="64" zoomScale="87" zoomScaleNormal="87" zoomScalePageLayoutView="100" workbookViewId="0">
      <selection pane="topLeft" activeCell="F23" activeCellId="0" sqref="F23"/>
    </sheetView>
  </sheetViews>
  <sheetFormatPr defaultRowHeight="14.2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86" width="20.57"/>
    <col collapsed="false" customWidth="true" hidden="false" outlineLevel="0" max="6" min="5" style="2" width="20.57"/>
    <col collapsed="false" customWidth="true" hidden="false" outlineLevel="0" max="9" min="7" style="1" width="15.29"/>
    <col collapsed="false" customWidth="true" hidden="false" outlineLevel="0" max="12" min="10" style="1" width="16.14"/>
    <col collapsed="false" customWidth="true" hidden="false" outlineLevel="0" max="13" min="13" style="1" width="10.13"/>
    <col collapsed="false" customWidth="true" hidden="false" outlineLevel="0" max="1025" min="14" style="1" width="9.13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151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87"/>
    </row>
    <row r="12" customFormat="false" ht="15" hidden="false" customHeight="false" outlineLevel="0" collapsed="false">
      <c r="A12" s="8"/>
      <c r="C12" s="8"/>
      <c r="D12" s="88"/>
    </row>
    <row r="13" customFormat="false" ht="15" hidden="false" customHeight="false" outlineLevel="0" collapsed="false">
      <c r="A13" s="7"/>
      <c r="C13" s="7"/>
      <c r="D13" s="87"/>
    </row>
    <row r="14" customFormat="false" ht="15" hidden="false" customHeight="false" outlineLevel="0" collapsed="false">
      <c r="A14" s="7"/>
      <c r="C14" s="7"/>
      <c r="D14" s="8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  <c r="E44" s="89"/>
    </row>
    <row r="45" customFormat="false" ht="14.25" hidden="false" customHeight="false" outlineLevel="0" collapsed="false">
      <c r="A45" s="6"/>
      <c r="E45" s="89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90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20" t="s">
        <v>152</v>
      </c>
      <c r="E48" s="19" t="s">
        <v>153</v>
      </c>
      <c r="F48" s="20" t="s">
        <v>154</v>
      </c>
    </row>
    <row r="49" customFormat="false" ht="29.25" hidden="false" customHeight="true" outlineLevel="0" collapsed="false">
      <c r="A49" s="21" t="s">
        <v>34</v>
      </c>
      <c r="B49" s="22" t="s">
        <v>35</v>
      </c>
      <c r="C49" s="23" t="s">
        <v>36</v>
      </c>
      <c r="D49" s="51" t="n">
        <f aca="false">D51+D101+D111</f>
        <v>11434796.186</v>
      </c>
      <c r="E49" s="25" t="n">
        <f aca="false">E51+E101+E111</f>
        <v>10779820.0002115</v>
      </c>
      <c r="F49" s="25" t="n">
        <f aca="false">F51+F101+F111</f>
        <v>11034999.9999773</v>
      </c>
      <c r="G49" s="26"/>
      <c r="I49" s="27"/>
    </row>
    <row r="50" customFormat="false" ht="29.25" hidden="false" customHeight="true" outlineLevel="0" collapsed="false">
      <c r="A50" s="28"/>
      <c r="B50" s="22" t="s">
        <v>37</v>
      </c>
      <c r="C50" s="29"/>
      <c r="D50" s="92"/>
      <c r="E50" s="45"/>
      <c r="F50" s="45"/>
    </row>
    <row r="51" customFormat="false" ht="29.25" hidden="false" customHeight="true" outlineLevel="0" collapsed="false">
      <c r="A51" s="21" t="s">
        <v>38</v>
      </c>
      <c r="B51" s="22" t="s">
        <v>39</v>
      </c>
      <c r="C51" s="23" t="s">
        <v>36</v>
      </c>
      <c r="D51" s="37" t="n">
        <f aca="false">D53+D54+D56+D57</f>
        <v>3786090.889</v>
      </c>
      <c r="E51" s="37" t="n">
        <f aca="false">E53+E54+E56+E57</f>
        <v>3824750.10021151</v>
      </c>
      <c r="F51" s="37" t="n">
        <f aca="false">F53+F54+F56+F57</f>
        <v>3909999.99997727</v>
      </c>
      <c r="G51" s="34"/>
      <c r="H51" s="35"/>
      <c r="I51" s="36"/>
      <c r="J51" s="36"/>
      <c r="L51" s="27"/>
      <c r="M51" s="27"/>
    </row>
    <row r="52" customFormat="false" ht="29.25" hidden="false" customHeight="true" outlineLevel="0" collapsed="false">
      <c r="A52" s="21" t="s">
        <v>40</v>
      </c>
      <c r="B52" s="22" t="s">
        <v>41</v>
      </c>
      <c r="C52" s="23" t="s">
        <v>36</v>
      </c>
      <c r="D52" s="37" t="n">
        <f aca="false">D60+D67+D88+D81</f>
        <v>1572437.937</v>
      </c>
      <c r="E52" s="37" t="n">
        <f aca="false">E60+E67+E88+E81</f>
        <v>1606648.055147</v>
      </c>
      <c r="F52" s="37" t="n">
        <f aca="false">F60+F67+F88+F81</f>
        <v>1670663.638732</v>
      </c>
      <c r="G52" s="94"/>
      <c r="L52" s="27"/>
      <c r="M52" s="27"/>
    </row>
    <row r="53" customFormat="false" ht="29.25" hidden="false" customHeight="true" outlineLevel="0" collapsed="false">
      <c r="A53" s="28"/>
      <c r="B53" s="22" t="s">
        <v>42</v>
      </c>
      <c r="C53" s="23" t="s">
        <v>36</v>
      </c>
      <c r="D53" s="37" t="n">
        <f aca="false">D61+D68+D89+D82+D96+31.571</f>
        <v>1071056.249</v>
      </c>
      <c r="E53" s="37" t="n">
        <f aca="false">E61+E68+E89+E82+E96+32.404</f>
        <v>1090499.49959719</v>
      </c>
      <c r="F53" s="37" t="n">
        <f aca="false">F61+F68+F89+F82+F96+33.763</f>
        <v>1105553.86971271</v>
      </c>
      <c r="G53" s="94"/>
      <c r="H53" s="94"/>
      <c r="L53" s="38"/>
      <c r="M53" s="27"/>
    </row>
    <row r="54" customFormat="false" ht="29.25" hidden="false" customHeight="true" outlineLevel="0" collapsed="false">
      <c r="A54" s="28"/>
      <c r="B54" s="22" t="s">
        <v>43</v>
      </c>
      <c r="C54" s="23" t="s">
        <v>36</v>
      </c>
      <c r="D54" s="37" t="n">
        <f aca="false">D62+D69+D90+D83+D97+36.755</f>
        <v>1055451.152</v>
      </c>
      <c r="E54" s="37" t="n">
        <f aca="false">E62+E69+E90+E83+E97+31.587</f>
        <v>1081357.70024527</v>
      </c>
      <c r="F54" s="37" t="n">
        <f aca="false">F62+F69+F90+F83+F97+32.668</f>
        <v>1089751.64029148</v>
      </c>
      <c r="L54" s="38"/>
      <c r="M54" s="27"/>
    </row>
    <row r="55" customFormat="false" ht="29.25" hidden="false" customHeight="true" outlineLevel="0" collapsed="false">
      <c r="A55" s="21" t="s">
        <v>44</v>
      </c>
      <c r="B55" s="22" t="s">
        <v>45</v>
      </c>
      <c r="C55" s="23" t="s">
        <v>36</v>
      </c>
      <c r="D55" s="37" t="n">
        <f aca="false">D63+D70+D91+D84</f>
        <v>1382863.041</v>
      </c>
      <c r="E55" s="37" t="n">
        <f aca="false">E63+E70+E91+E84</f>
        <v>1373242.044851</v>
      </c>
      <c r="F55" s="37" t="n">
        <f aca="false">F63+F70+F91+F84</f>
        <v>1381346.361268</v>
      </c>
      <c r="L55" s="27"/>
      <c r="M55" s="27"/>
    </row>
    <row r="56" customFormat="false" ht="29.25" hidden="false" customHeight="true" outlineLevel="0" collapsed="false">
      <c r="A56" s="28"/>
      <c r="B56" s="22" t="s">
        <v>42</v>
      </c>
      <c r="C56" s="23" t="s">
        <v>36</v>
      </c>
      <c r="D56" s="37" t="n">
        <f aca="false">D64+D71+D92+D85+D99+232.461</f>
        <v>883839.197</v>
      </c>
      <c r="E56" s="37" t="n">
        <f aca="false">E64+E71+E92+E85+E99+238.412</f>
        <v>891996.000132752</v>
      </c>
      <c r="F56" s="37" t="n">
        <f aca="false">F64+F71+F92+F85+F99+187.455</f>
        <v>917506.130134936</v>
      </c>
      <c r="L56" s="27"/>
      <c r="M56" s="27"/>
    </row>
    <row r="57" customFormat="false" ht="29.25" hidden="false" customHeight="true" outlineLevel="0" collapsed="false">
      <c r="A57" s="28"/>
      <c r="B57" s="22" t="s">
        <v>43</v>
      </c>
      <c r="C57" s="23" t="s">
        <v>36</v>
      </c>
      <c r="D57" s="37" t="n">
        <f aca="false">D65+D72+D93+D86+D100+154.79</f>
        <v>775744.291</v>
      </c>
      <c r="E57" s="37" t="n">
        <f aca="false">E65+E72+E93+E86+E100+192.927</f>
        <v>760896.900236294</v>
      </c>
      <c r="F57" s="37" t="n">
        <f aca="false">F65+F72+F93+F86+F100+181.372</f>
        <v>797188.359838146</v>
      </c>
      <c r="L57" s="27"/>
      <c r="M57" s="27"/>
    </row>
    <row r="58" customFormat="false" ht="29.25" hidden="false" customHeight="true" outlineLevel="0" collapsed="false">
      <c r="A58" s="28"/>
      <c r="B58" s="22" t="s">
        <v>37</v>
      </c>
      <c r="C58" s="23" t="s">
        <v>36</v>
      </c>
      <c r="D58" s="45"/>
      <c r="E58" s="45"/>
      <c r="F58" s="45"/>
      <c r="L58" s="27"/>
      <c r="M58" s="27"/>
    </row>
    <row r="59" customFormat="false" ht="29.25" hidden="false" customHeight="true" outlineLevel="0" collapsed="false">
      <c r="A59" s="21" t="s">
        <v>46</v>
      </c>
      <c r="B59" s="22" t="s">
        <v>47</v>
      </c>
      <c r="C59" s="23" t="s">
        <v>36</v>
      </c>
      <c r="D59" s="37" t="n">
        <f aca="false">D60+D63</f>
        <v>337952.377</v>
      </c>
      <c r="E59" s="37" t="n">
        <f aca="false">E60+E63</f>
        <v>349150.104142</v>
      </c>
      <c r="F59" s="37" t="n">
        <f aca="false">F60+F63</f>
        <v>355008.55617</v>
      </c>
      <c r="G59" s="36"/>
      <c r="L59" s="27"/>
      <c r="M59" s="27"/>
    </row>
    <row r="60" customFormat="false" ht="29.25" hidden="false" customHeight="true" outlineLevel="0" collapsed="false">
      <c r="A60" s="21" t="s">
        <v>48</v>
      </c>
      <c r="B60" s="22" t="s">
        <v>41</v>
      </c>
      <c r="C60" s="23" t="s">
        <v>36</v>
      </c>
      <c r="D60" s="37" t="n">
        <f aca="false">D61+D62</f>
        <v>211049.644</v>
      </c>
      <c r="E60" s="37" t="n">
        <f aca="false">E61+E62</f>
        <v>221705.383595</v>
      </c>
      <c r="F60" s="37" t="n">
        <f aca="false">F61+F62</f>
        <v>228665.826355</v>
      </c>
      <c r="G60" s="36"/>
      <c r="L60" s="27"/>
      <c r="M60" s="27"/>
    </row>
    <row r="61" customFormat="false" ht="29.25" hidden="false" customHeight="true" outlineLevel="0" collapsed="false">
      <c r="A61" s="28"/>
      <c r="B61" s="22" t="s">
        <v>42</v>
      </c>
      <c r="C61" s="23" t="s">
        <v>36</v>
      </c>
      <c r="D61" s="37" t="n">
        <v>106829.642</v>
      </c>
      <c r="E61" s="37" t="n">
        <v>112735.995574</v>
      </c>
      <c r="F61" s="37" t="n">
        <v>116283.555055</v>
      </c>
      <c r="G61" s="36"/>
      <c r="L61" s="27"/>
      <c r="M61" s="27"/>
    </row>
    <row r="62" customFormat="false" ht="29.25" hidden="false" customHeight="true" outlineLevel="0" collapsed="false">
      <c r="A62" s="28"/>
      <c r="B62" s="22" t="s">
        <v>43</v>
      </c>
      <c r="C62" s="23" t="s">
        <v>36</v>
      </c>
      <c r="D62" s="37" t="n">
        <v>104220.002</v>
      </c>
      <c r="E62" s="37" t="n">
        <v>108969.388021</v>
      </c>
      <c r="F62" s="37" t="n">
        <v>112382.2713</v>
      </c>
      <c r="G62" s="36"/>
      <c r="L62" s="27"/>
      <c r="M62" s="27"/>
    </row>
    <row r="63" customFormat="false" ht="29.25" hidden="false" customHeight="true" outlineLevel="0" collapsed="false">
      <c r="A63" s="21" t="s">
        <v>49</v>
      </c>
      <c r="B63" s="22" t="s">
        <v>45</v>
      </c>
      <c r="C63" s="23" t="s">
        <v>36</v>
      </c>
      <c r="D63" s="37" t="n">
        <f aca="false">D64+D65</f>
        <v>126902.733</v>
      </c>
      <c r="E63" s="37" t="n">
        <f aca="false">E64+E65</f>
        <v>127444.720547</v>
      </c>
      <c r="F63" s="37" t="n">
        <f aca="false">F64+F65</f>
        <v>126342.729815</v>
      </c>
      <c r="G63" s="36"/>
      <c r="L63" s="27"/>
      <c r="M63" s="27"/>
    </row>
    <row r="64" customFormat="false" ht="29.25" hidden="false" customHeight="true" outlineLevel="0" collapsed="false">
      <c r="A64" s="28"/>
      <c r="B64" s="22" t="s">
        <v>42</v>
      </c>
      <c r="C64" s="23" t="s">
        <v>36</v>
      </c>
      <c r="D64" s="37" t="n">
        <v>67184.219</v>
      </c>
      <c r="E64" s="37" t="n">
        <v>68944.798451</v>
      </c>
      <c r="F64" s="37" t="n">
        <v>68063.384364</v>
      </c>
      <c r="L64" s="27"/>
      <c r="M64" s="27"/>
    </row>
    <row r="65" customFormat="false" ht="29.25" hidden="false" customHeight="true" outlineLevel="0" collapsed="false">
      <c r="A65" s="28"/>
      <c r="B65" s="22" t="s">
        <v>43</v>
      </c>
      <c r="C65" s="23" t="s">
        <v>36</v>
      </c>
      <c r="D65" s="37" t="n">
        <v>59718.514</v>
      </c>
      <c r="E65" s="37" t="n">
        <v>58499.922096</v>
      </c>
      <c r="F65" s="37" t="n">
        <v>58279.345451</v>
      </c>
      <c r="G65" s="27"/>
      <c r="L65" s="27"/>
      <c r="M65" s="27"/>
    </row>
    <row r="66" customFormat="false" ht="29.25" hidden="false" customHeight="true" outlineLevel="0" collapsed="false">
      <c r="A66" s="21" t="s">
        <v>50</v>
      </c>
      <c r="B66" s="22" t="s">
        <v>51</v>
      </c>
      <c r="C66" s="23" t="s">
        <v>36</v>
      </c>
      <c r="D66" s="37" t="n">
        <f aca="false">D67+D70</f>
        <v>1247076.57</v>
      </c>
      <c r="E66" s="37" t="n">
        <f aca="false">E67+E70</f>
        <v>1247988.378418</v>
      </c>
      <c r="F66" s="37" t="n">
        <f aca="false">F67+F70</f>
        <v>1274331.68764</v>
      </c>
      <c r="L66" s="27"/>
      <c r="M66" s="27"/>
    </row>
    <row r="67" customFormat="false" ht="29.25" hidden="false" customHeight="true" outlineLevel="0" collapsed="false">
      <c r="A67" s="21" t="s">
        <v>52</v>
      </c>
      <c r="B67" s="22" t="s">
        <v>41</v>
      </c>
      <c r="C67" s="23" t="s">
        <v>36</v>
      </c>
      <c r="D67" s="37" t="n">
        <f aca="false">D68+D69</f>
        <v>798242.066</v>
      </c>
      <c r="E67" s="37" t="n">
        <f aca="false">E68+E69</f>
        <v>787335.103061</v>
      </c>
      <c r="F67" s="37" t="n">
        <f aca="false">F68+F69</f>
        <v>825432.190373</v>
      </c>
      <c r="L67" s="27"/>
      <c r="M67" s="27"/>
    </row>
    <row r="68" customFormat="false" ht="29.25" hidden="false" customHeight="true" outlineLevel="0" collapsed="false">
      <c r="A68" s="28"/>
      <c r="B68" s="22" t="s">
        <v>42</v>
      </c>
      <c r="C68" s="23" t="s">
        <v>36</v>
      </c>
      <c r="D68" s="37" t="n">
        <v>402418.243</v>
      </c>
      <c r="E68" s="37" t="n">
        <v>392731.848781</v>
      </c>
      <c r="F68" s="37" t="n">
        <v>412506.515135</v>
      </c>
      <c r="L68" s="27"/>
      <c r="M68" s="27"/>
    </row>
    <row r="69" customFormat="false" ht="29.25" hidden="false" customHeight="true" outlineLevel="0" collapsed="false">
      <c r="A69" s="28"/>
      <c r="B69" s="22" t="s">
        <v>43</v>
      </c>
      <c r="C69" s="23" t="s">
        <v>36</v>
      </c>
      <c r="D69" s="37" t="n">
        <v>395823.823</v>
      </c>
      <c r="E69" s="37" t="n">
        <v>394603.25428</v>
      </c>
      <c r="F69" s="37" t="n">
        <v>412925.675238</v>
      </c>
      <c r="L69" s="27"/>
      <c r="M69" s="27"/>
    </row>
    <row r="70" customFormat="false" ht="29.25" hidden="false" customHeight="true" outlineLevel="0" collapsed="false">
      <c r="A70" s="21" t="s">
        <v>53</v>
      </c>
      <c r="B70" s="22" t="s">
        <v>45</v>
      </c>
      <c r="C70" s="23" t="s">
        <v>36</v>
      </c>
      <c r="D70" s="37" t="n">
        <f aca="false">D71+D72</f>
        <v>448834.504</v>
      </c>
      <c r="E70" s="37" t="n">
        <f aca="false">E71+E72</f>
        <v>460653.275357</v>
      </c>
      <c r="F70" s="37" t="n">
        <f aca="false">F71+F72</f>
        <v>448899.497267</v>
      </c>
      <c r="L70" s="27"/>
      <c r="M70" s="27"/>
    </row>
    <row r="71" customFormat="false" ht="29.25" hidden="false" customHeight="true" outlineLevel="0" collapsed="false">
      <c r="A71" s="28"/>
      <c r="B71" s="22" t="s">
        <v>42</v>
      </c>
      <c r="C71" s="23" t="s">
        <v>36</v>
      </c>
      <c r="D71" s="37" t="n">
        <v>230367.309</v>
      </c>
      <c r="E71" s="37" t="n">
        <v>236480.723117</v>
      </c>
      <c r="F71" s="37" t="n">
        <v>232670.494139</v>
      </c>
      <c r="L71" s="27"/>
      <c r="M71" s="27"/>
    </row>
    <row r="72" customFormat="false" ht="29.25" hidden="false" customHeight="true" outlineLevel="0" collapsed="false">
      <c r="A72" s="28"/>
      <c r="B72" s="22" t="s">
        <v>43</v>
      </c>
      <c r="C72" s="23" t="s">
        <v>36</v>
      </c>
      <c r="D72" s="37" t="n">
        <v>218467.195</v>
      </c>
      <c r="E72" s="37" t="n">
        <v>224172.55224</v>
      </c>
      <c r="F72" s="37" t="n">
        <v>216229.003128</v>
      </c>
      <c r="G72" s="38"/>
      <c r="L72" s="27"/>
      <c r="M72" s="27"/>
    </row>
    <row r="73" customFormat="false" ht="29.25" hidden="false" customHeight="true" outlineLevel="0" collapsed="false">
      <c r="A73" s="21" t="s">
        <v>54</v>
      </c>
      <c r="B73" s="22" t="s">
        <v>55</v>
      </c>
      <c r="C73" s="23" t="s">
        <v>36</v>
      </c>
      <c r="D73" s="37" t="n">
        <f aca="false">D74+D77</f>
        <v>0</v>
      </c>
      <c r="E73" s="37" t="n">
        <f aca="false">E74+E77</f>
        <v>0</v>
      </c>
      <c r="F73" s="37" t="n">
        <f aca="false">F74+F77</f>
        <v>0</v>
      </c>
      <c r="L73" s="27"/>
      <c r="M73" s="27"/>
    </row>
    <row r="74" customFormat="false" ht="29.25" hidden="false" customHeight="true" outlineLevel="0" collapsed="false">
      <c r="A74" s="21" t="s">
        <v>56</v>
      </c>
      <c r="B74" s="22" t="s">
        <v>41</v>
      </c>
      <c r="C74" s="23" t="s">
        <v>36</v>
      </c>
      <c r="D74" s="37" t="n">
        <f aca="false">D75+D76</f>
        <v>0</v>
      </c>
      <c r="E74" s="37" t="n">
        <f aca="false">E75+E76</f>
        <v>0</v>
      </c>
      <c r="F74" s="37" t="n">
        <f aca="false">F75+F76</f>
        <v>0</v>
      </c>
      <c r="L74" s="27"/>
      <c r="M74" s="27"/>
    </row>
    <row r="75" customFormat="false" ht="29.25" hidden="false" customHeight="true" outlineLevel="0" collapsed="false">
      <c r="A75" s="28"/>
      <c r="B75" s="22" t="s">
        <v>42</v>
      </c>
      <c r="C75" s="23" t="s">
        <v>36</v>
      </c>
      <c r="D75" s="37"/>
      <c r="E75" s="37"/>
      <c r="F75" s="37"/>
      <c r="L75" s="27"/>
      <c r="M75" s="27"/>
    </row>
    <row r="76" customFormat="false" ht="29.25" hidden="false" customHeight="true" outlineLevel="0" collapsed="false">
      <c r="A76" s="28"/>
      <c r="B76" s="22" t="s">
        <v>43</v>
      </c>
      <c r="C76" s="23" t="s">
        <v>36</v>
      </c>
      <c r="D76" s="37"/>
      <c r="E76" s="37"/>
      <c r="F76" s="37"/>
      <c r="L76" s="27"/>
      <c r="M76" s="27"/>
    </row>
    <row r="77" customFormat="false" ht="29.25" hidden="false" customHeight="true" outlineLevel="0" collapsed="false">
      <c r="A77" s="21" t="s">
        <v>57</v>
      </c>
      <c r="B77" s="22" t="s">
        <v>45</v>
      </c>
      <c r="C77" s="23" t="s">
        <v>36</v>
      </c>
      <c r="D77" s="37" t="n">
        <f aca="false">D78+D79</f>
        <v>0</v>
      </c>
      <c r="E77" s="37" t="n">
        <f aca="false">E78+E79</f>
        <v>0</v>
      </c>
      <c r="F77" s="37" t="n">
        <f aca="false">F78+F79</f>
        <v>0</v>
      </c>
      <c r="L77" s="27"/>
      <c r="M77" s="27"/>
    </row>
    <row r="78" customFormat="false" ht="29.25" hidden="false" customHeight="true" outlineLevel="0" collapsed="false">
      <c r="A78" s="28"/>
      <c r="B78" s="22" t="s">
        <v>42</v>
      </c>
      <c r="C78" s="23" t="s">
        <v>36</v>
      </c>
      <c r="D78" s="37"/>
      <c r="E78" s="37"/>
      <c r="F78" s="37"/>
      <c r="L78" s="27"/>
      <c r="M78" s="27"/>
    </row>
    <row r="79" customFormat="false" ht="29.25" hidden="false" customHeight="true" outlineLevel="0" collapsed="false">
      <c r="A79" s="28"/>
      <c r="B79" s="22" t="s">
        <v>43</v>
      </c>
      <c r="C79" s="23" t="s">
        <v>36</v>
      </c>
      <c r="D79" s="37"/>
      <c r="E79" s="37"/>
      <c r="F79" s="37"/>
      <c r="L79" s="27"/>
      <c r="M79" s="27"/>
    </row>
    <row r="80" customFormat="false" ht="29.25" hidden="false" customHeight="true" outlineLevel="0" collapsed="false">
      <c r="A80" s="21" t="s">
        <v>58</v>
      </c>
      <c r="B80" s="22" t="s">
        <v>59</v>
      </c>
      <c r="C80" s="23" t="s">
        <v>36</v>
      </c>
      <c r="D80" s="37" t="n">
        <f aca="false">D81+D84</f>
        <v>110563.145</v>
      </c>
      <c r="E80" s="37" t="n">
        <f aca="false">E81+E84</f>
        <v>102456.377</v>
      </c>
      <c r="F80" s="37" t="n">
        <f aca="false">F81+F84</f>
        <v>111573.558</v>
      </c>
      <c r="L80" s="27"/>
      <c r="M80" s="27"/>
    </row>
    <row r="81" customFormat="false" ht="29.25" hidden="false" customHeight="true" outlineLevel="0" collapsed="false">
      <c r="A81" s="21" t="s">
        <v>60</v>
      </c>
      <c r="B81" s="22" t="s">
        <v>41</v>
      </c>
      <c r="C81" s="23" t="s">
        <v>36</v>
      </c>
      <c r="D81" s="37" t="n">
        <f aca="false">D82+D83</f>
        <v>35415.802</v>
      </c>
      <c r="E81" s="37" t="n">
        <f aca="false">E82+E83</f>
        <v>34068.984</v>
      </c>
      <c r="F81" s="37" t="n">
        <f aca="false">F82+F83</f>
        <v>35982.634</v>
      </c>
      <c r="L81" s="27"/>
      <c r="M81" s="27"/>
    </row>
    <row r="82" customFormat="false" ht="29.25" hidden="false" customHeight="true" outlineLevel="0" collapsed="false">
      <c r="A82" s="28"/>
      <c r="B82" s="22" t="s">
        <v>42</v>
      </c>
      <c r="C82" s="23" t="s">
        <v>36</v>
      </c>
      <c r="D82" s="37" t="n">
        <v>18685.089</v>
      </c>
      <c r="E82" s="37" t="n">
        <v>17597.827</v>
      </c>
      <c r="F82" s="37" t="n">
        <v>18507.533</v>
      </c>
      <c r="L82" s="27"/>
      <c r="M82" s="27"/>
    </row>
    <row r="83" customFormat="false" ht="29.25" hidden="false" customHeight="true" outlineLevel="0" collapsed="false">
      <c r="A83" s="28"/>
      <c r="B83" s="22" t="s">
        <v>43</v>
      </c>
      <c r="C83" s="23" t="s">
        <v>36</v>
      </c>
      <c r="D83" s="37" t="n">
        <v>16730.713</v>
      </c>
      <c r="E83" s="37" t="n">
        <v>16471.157</v>
      </c>
      <c r="F83" s="37" t="n">
        <v>17475.101</v>
      </c>
      <c r="L83" s="27"/>
      <c r="M83" s="27"/>
    </row>
    <row r="84" customFormat="false" ht="29.25" hidden="false" customHeight="true" outlineLevel="0" collapsed="false">
      <c r="A84" s="21" t="s">
        <v>61</v>
      </c>
      <c r="B84" s="22" t="s">
        <v>45</v>
      </c>
      <c r="C84" s="23" t="s">
        <v>36</v>
      </c>
      <c r="D84" s="37" t="n">
        <f aca="false">D85+D86</f>
        <v>75147.343</v>
      </c>
      <c r="E84" s="37" t="n">
        <f aca="false">E85+E86</f>
        <v>68387.393</v>
      </c>
      <c r="F84" s="37" t="n">
        <f aca="false">F85+F86</f>
        <v>75590.924</v>
      </c>
      <c r="L84" s="27"/>
      <c r="M84" s="27"/>
    </row>
    <row r="85" customFormat="false" ht="29.25" hidden="false" customHeight="true" outlineLevel="0" collapsed="false">
      <c r="A85" s="28"/>
      <c r="B85" s="22" t="s">
        <v>42</v>
      </c>
      <c r="C85" s="23" t="s">
        <v>36</v>
      </c>
      <c r="D85" s="37" t="n">
        <v>41628.359</v>
      </c>
      <c r="E85" s="37" t="n">
        <v>37756.252</v>
      </c>
      <c r="F85" s="37" t="n">
        <v>41848.353</v>
      </c>
      <c r="L85" s="27"/>
      <c r="M85" s="27"/>
    </row>
    <row r="86" customFormat="false" ht="29.25" hidden="false" customHeight="true" outlineLevel="0" collapsed="false">
      <c r="A86" s="28"/>
      <c r="B86" s="22" t="s">
        <v>43</v>
      </c>
      <c r="C86" s="23" t="s">
        <v>36</v>
      </c>
      <c r="D86" s="37" t="n">
        <v>33518.984</v>
      </c>
      <c r="E86" s="37" t="n">
        <v>30631.141</v>
      </c>
      <c r="F86" s="37" t="n">
        <v>33742.571</v>
      </c>
      <c r="L86" s="27"/>
      <c r="M86" s="27"/>
    </row>
    <row r="87" customFormat="false" ht="29.25" hidden="false" customHeight="true" outlineLevel="0" collapsed="false">
      <c r="A87" s="21" t="s">
        <v>62</v>
      </c>
      <c r="B87" s="22" t="s">
        <v>63</v>
      </c>
      <c r="C87" s="23" t="s">
        <v>36</v>
      </c>
      <c r="D87" s="37" t="n">
        <f aca="false">D88+D91</f>
        <v>1259708.886</v>
      </c>
      <c r="E87" s="37" t="n">
        <f aca="false">E88+E91</f>
        <v>1280295.240438</v>
      </c>
      <c r="F87" s="37" t="n">
        <f aca="false">F88+F91</f>
        <v>1311096.19819</v>
      </c>
      <c r="L87" s="27"/>
      <c r="M87" s="27"/>
    </row>
    <row r="88" customFormat="false" ht="29.25" hidden="false" customHeight="true" outlineLevel="0" collapsed="false">
      <c r="A88" s="21" t="s">
        <v>64</v>
      </c>
      <c r="B88" s="22" t="s">
        <v>41</v>
      </c>
      <c r="C88" s="23" t="s">
        <v>36</v>
      </c>
      <c r="D88" s="37" t="n">
        <f aca="false">D89+D90</f>
        <v>527730.425</v>
      </c>
      <c r="E88" s="37" t="n">
        <f aca="false">E89+E90</f>
        <v>563538.584491</v>
      </c>
      <c r="F88" s="37" t="n">
        <f aca="false">F89+F90</f>
        <v>580582.988004</v>
      </c>
      <c r="L88" s="27"/>
      <c r="M88" s="27"/>
    </row>
    <row r="89" customFormat="false" ht="29.25" hidden="false" customHeight="true" outlineLevel="0" collapsed="false">
      <c r="A89" s="28"/>
      <c r="B89" s="22" t="s">
        <v>42</v>
      </c>
      <c r="C89" s="23" t="s">
        <v>36</v>
      </c>
      <c r="D89" s="37" t="n">
        <v>267161.756</v>
      </c>
      <c r="E89" s="37" t="n">
        <v>285428.235307</v>
      </c>
      <c r="F89" s="37" t="n">
        <v>295316.101014</v>
      </c>
      <c r="L89" s="27"/>
      <c r="M89" s="27"/>
    </row>
    <row r="90" customFormat="false" ht="29.25" hidden="false" customHeight="true" outlineLevel="0" collapsed="false">
      <c r="A90" s="28"/>
      <c r="B90" s="22" t="s">
        <v>43</v>
      </c>
      <c r="C90" s="23" t="s">
        <v>36</v>
      </c>
      <c r="D90" s="37" t="n">
        <v>260568.669</v>
      </c>
      <c r="E90" s="37" t="n">
        <v>278110.349184</v>
      </c>
      <c r="F90" s="37" t="n">
        <v>285266.88699</v>
      </c>
      <c r="G90" s="27"/>
      <c r="L90" s="27"/>
      <c r="M90" s="27"/>
    </row>
    <row r="91" customFormat="false" ht="29.25" hidden="false" customHeight="true" outlineLevel="0" collapsed="false">
      <c r="A91" s="21" t="s">
        <v>65</v>
      </c>
      <c r="B91" s="22" t="s">
        <v>45</v>
      </c>
      <c r="C91" s="23" t="s">
        <v>36</v>
      </c>
      <c r="D91" s="51" t="n">
        <f aca="false">D92+D93</f>
        <v>731978.461</v>
      </c>
      <c r="E91" s="37" t="n">
        <f aca="false">E92+E93</f>
        <v>716756.655947</v>
      </c>
      <c r="F91" s="37" t="n">
        <f aca="false">F92+F93</f>
        <v>730513.210186</v>
      </c>
      <c r="G91" s="27"/>
      <c r="L91" s="27"/>
      <c r="M91" s="27"/>
    </row>
    <row r="92" customFormat="false" ht="29.25" hidden="false" customHeight="true" outlineLevel="0" collapsed="false">
      <c r="A92" s="28"/>
      <c r="B92" s="22" t="s">
        <v>42</v>
      </c>
      <c r="C92" s="23" t="s">
        <v>36</v>
      </c>
      <c r="D92" s="37" t="n">
        <v>399352.322</v>
      </c>
      <c r="E92" s="37" t="n">
        <v>399729.81977</v>
      </c>
      <c r="F92" s="37" t="n">
        <v>401794.064297</v>
      </c>
      <c r="L92" s="27"/>
      <c r="M92" s="27"/>
    </row>
    <row r="93" customFormat="false" ht="29.25" hidden="false" customHeight="true" outlineLevel="0" collapsed="false">
      <c r="A93" s="28"/>
      <c r="B93" s="22" t="s">
        <v>43</v>
      </c>
      <c r="C93" s="23" t="s">
        <v>36</v>
      </c>
      <c r="D93" s="37" t="n">
        <v>332626.139</v>
      </c>
      <c r="E93" s="37" t="n">
        <v>317026.836177</v>
      </c>
      <c r="F93" s="37" t="n">
        <v>328719.145889</v>
      </c>
      <c r="G93" s="27"/>
      <c r="H93" s="27"/>
      <c r="L93" s="27"/>
      <c r="M93" s="27"/>
    </row>
    <row r="94" customFormat="false" ht="29.25" hidden="false" customHeight="true" outlineLevel="0" collapsed="false">
      <c r="A94" s="21" t="s">
        <v>66</v>
      </c>
      <c r="B94" s="22" t="s">
        <v>67</v>
      </c>
      <c r="C94" s="23" t="s">
        <v>36</v>
      </c>
      <c r="D94" s="95" t="n">
        <f aca="false">D95+D98</f>
        <v>830334.334</v>
      </c>
      <c r="E94" s="96" t="n">
        <f aca="false">E95+E98</f>
        <v>844364.670213509</v>
      </c>
      <c r="F94" s="96" t="n">
        <f aca="false">F95+F98</f>
        <v>857554.741977268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95" t="n">
        <f aca="false">D96+D97</f>
        <v>554001.138</v>
      </c>
      <c r="E95" s="96" t="n">
        <f aca="false">E96+E97</f>
        <v>565145.153695463</v>
      </c>
      <c r="F95" s="96" t="n">
        <f aca="false">F96+F97</f>
        <v>524575.440272186</v>
      </c>
      <c r="L95" s="27"/>
      <c r="M95" s="27"/>
    </row>
    <row r="96" customFormat="false" ht="29.25" hidden="false" customHeight="true" outlineLevel="0" collapsed="false">
      <c r="A96" s="28"/>
      <c r="B96" s="22" t="s">
        <v>42</v>
      </c>
      <c r="C96" s="23" t="s">
        <v>36</v>
      </c>
      <c r="D96" s="37" t="n">
        <v>275929.948</v>
      </c>
      <c r="E96" s="96" t="n">
        <v>281973.18893519</v>
      </c>
      <c r="F96" s="96" t="n">
        <v>262906.402508707</v>
      </c>
      <c r="G96" s="38"/>
      <c r="L96" s="27"/>
      <c r="M96" s="27"/>
    </row>
    <row r="97" customFormat="false" ht="29.25" hidden="false" customHeight="true" outlineLevel="0" collapsed="false">
      <c r="A97" s="28"/>
      <c r="B97" s="22" t="s">
        <v>43</v>
      </c>
      <c r="C97" s="23" t="s">
        <v>36</v>
      </c>
      <c r="D97" s="37" t="n">
        <v>278071.19</v>
      </c>
      <c r="E97" s="96" t="n">
        <v>283171.964760273</v>
      </c>
      <c r="F97" s="96" t="n">
        <v>261669.037763479</v>
      </c>
      <c r="G97" s="27"/>
    </row>
    <row r="98" customFormat="false" ht="29.25" hidden="false" customHeight="true" outlineLevel="0" collapsed="false">
      <c r="A98" s="21" t="s">
        <v>69</v>
      </c>
      <c r="B98" s="22" t="s">
        <v>45</v>
      </c>
      <c r="C98" s="23" t="s">
        <v>36</v>
      </c>
      <c r="D98" s="95" t="n">
        <f aca="false">D99+D100</f>
        <v>276333.196</v>
      </c>
      <c r="E98" s="96" t="n">
        <f aca="false">E99+E100</f>
        <v>279219.516518046</v>
      </c>
      <c r="F98" s="96" t="n">
        <f aca="false">F99+F100</f>
        <v>332979.301705083</v>
      </c>
    </row>
    <row r="99" customFormat="false" ht="29.25" hidden="false" customHeight="true" outlineLevel="0" collapsed="false">
      <c r="A99" s="28"/>
      <c r="B99" s="22" t="s">
        <v>42</v>
      </c>
      <c r="C99" s="23" t="s">
        <v>36</v>
      </c>
      <c r="D99" s="37" t="n">
        <v>145074.527</v>
      </c>
      <c r="E99" s="96" t="n">
        <v>148845.994794752</v>
      </c>
      <c r="F99" s="96" t="n">
        <v>172942.379334936</v>
      </c>
    </row>
    <row r="100" customFormat="false" ht="29.25" hidden="false" customHeight="true" outlineLevel="0" collapsed="false">
      <c r="A100" s="28"/>
      <c r="B100" s="22" t="s">
        <v>43</v>
      </c>
      <c r="C100" s="23" t="s">
        <v>36</v>
      </c>
      <c r="D100" s="37" t="n">
        <v>131258.669</v>
      </c>
      <c r="E100" s="96" t="n">
        <v>130373.521723294</v>
      </c>
      <c r="F100" s="96" t="n">
        <v>160036.922370146</v>
      </c>
      <c r="G100" s="94"/>
      <c r="H100" s="94"/>
      <c r="I100" s="94"/>
      <c r="J100" s="94"/>
      <c r="K100" s="94"/>
      <c r="L100" s="94"/>
    </row>
    <row r="101" customFormat="false" ht="29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51" t="n">
        <f aca="false">D102+D105+D108</f>
        <v>5741189.647</v>
      </c>
      <c r="E101" s="37" t="n">
        <f aca="false">E102+E105+E108</f>
        <v>5081235.31288806</v>
      </c>
      <c r="F101" s="37" t="n">
        <f aca="false">F102+F105+F108</f>
        <v>5190000</v>
      </c>
      <c r="G101" s="41"/>
      <c r="H101" s="42"/>
    </row>
    <row r="102" customFormat="false" ht="29.25" hidden="false" customHeight="true" outlineLevel="0" collapsed="false">
      <c r="A102" s="28"/>
      <c r="B102" s="22" t="s">
        <v>72</v>
      </c>
      <c r="C102" s="23" t="s">
        <v>36</v>
      </c>
      <c r="D102" s="51" t="n">
        <f aca="false">D103+D104</f>
        <v>3191612.921</v>
      </c>
      <c r="E102" s="37" t="n">
        <f aca="false">E103+E104</f>
        <v>2804312.44843008</v>
      </c>
      <c r="F102" s="37" t="n">
        <f aca="false">F103+F104</f>
        <v>2952594.40427534</v>
      </c>
    </row>
    <row r="103" customFormat="false" ht="29.25" hidden="false" customHeight="true" outlineLevel="0" collapsed="false">
      <c r="A103" s="28"/>
      <c r="B103" s="22" t="s">
        <v>42</v>
      </c>
      <c r="C103" s="23" t="s">
        <v>36</v>
      </c>
      <c r="D103" s="37" t="n">
        <v>1655145.634</v>
      </c>
      <c r="E103" s="37" t="n">
        <v>1471804.30554818</v>
      </c>
      <c r="F103" s="37" t="n">
        <v>1541462.90098614</v>
      </c>
    </row>
    <row r="104" customFormat="false" ht="29.25" hidden="false" customHeight="true" outlineLevel="0" collapsed="false">
      <c r="A104" s="28"/>
      <c r="B104" s="22" t="s">
        <v>43</v>
      </c>
      <c r="C104" s="23" t="s">
        <v>36</v>
      </c>
      <c r="D104" s="37" t="n">
        <v>1536467.287</v>
      </c>
      <c r="E104" s="37" t="n">
        <v>1332508.1428819</v>
      </c>
      <c r="F104" s="37" t="n">
        <v>1411131.5032892</v>
      </c>
    </row>
    <row r="105" customFormat="false" ht="29.25" hidden="false" customHeight="true" outlineLevel="0" collapsed="false">
      <c r="A105" s="28"/>
      <c r="B105" s="22" t="s">
        <v>73</v>
      </c>
      <c r="C105" s="23" t="s">
        <v>36</v>
      </c>
      <c r="D105" s="37" t="n">
        <f aca="false">D106+D107</f>
        <v>1888851.869</v>
      </c>
      <c r="E105" s="37" t="n">
        <f aca="false">E106+E107</f>
        <v>1650788.76511591</v>
      </c>
      <c r="F105" s="37" t="n">
        <f aca="false">F106+F107</f>
        <v>1616307.02599158</v>
      </c>
    </row>
    <row r="106" customFormat="false" ht="29.25" hidden="false" customHeight="true" outlineLevel="0" collapsed="false">
      <c r="A106" s="28"/>
      <c r="B106" s="22" t="s">
        <v>42</v>
      </c>
      <c r="C106" s="23" t="s">
        <v>36</v>
      </c>
      <c r="D106" s="37" t="n">
        <v>935494.594</v>
      </c>
      <c r="E106" s="37" t="n">
        <v>867799.787966099</v>
      </c>
      <c r="F106" s="37" t="n">
        <v>844577.388614838</v>
      </c>
    </row>
    <row r="107" customFormat="false" ht="29.25" hidden="false" customHeight="true" outlineLevel="0" collapsed="false">
      <c r="A107" s="28"/>
      <c r="B107" s="22" t="s">
        <v>43</v>
      </c>
      <c r="C107" s="23" t="s">
        <v>36</v>
      </c>
      <c r="D107" s="37" t="n">
        <v>953357.275</v>
      </c>
      <c r="E107" s="37" t="n">
        <v>782988.977149807</v>
      </c>
      <c r="F107" s="37" t="n">
        <v>771729.637376743</v>
      </c>
    </row>
    <row r="108" customFormat="false" ht="29.25" hidden="false" customHeight="true" outlineLevel="0" collapsed="false">
      <c r="A108" s="28"/>
      <c r="B108" s="22" t="s">
        <v>74</v>
      </c>
      <c r="C108" s="23" t="s">
        <v>36</v>
      </c>
      <c r="D108" s="37" t="n">
        <f aca="false">D109+D110</f>
        <v>660724.857</v>
      </c>
      <c r="E108" s="37" t="n">
        <f aca="false">E109+E110</f>
        <v>626134.09934208</v>
      </c>
      <c r="F108" s="37" t="n">
        <f aca="false">F109+F110</f>
        <v>621098.56973308</v>
      </c>
    </row>
    <row r="109" customFormat="false" ht="29.25" hidden="false" customHeight="true" outlineLevel="0" collapsed="false">
      <c r="A109" s="28"/>
      <c r="B109" s="22" t="s">
        <v>42</v>
      </c>
      <c r="C109" s="23" t="s">
        <v>36</v>
      </c>
      <c r="D109" s="37" t="n">
        <v>299901.641</v>
      </c>
      <c r="E109" s="37" t="n">
        <v>328484.636394021</v>
      </c>
      <c r="F109" s="37" t="n">
        <v>325529.710399021</v>
      </c>
    </row>
    <row r="110" customFormat="false" ht="29.25" hidden="false" customHeight="true" outlineLevel="0" collapsed="false">
      <c r="A110" s="28"/>
      <c r="B110" s="22" t="s">
        <v>43</v>
      </c>
      <c r="C110" s="23" t="s">
        <v>36</v>
      </c>
      <c r="D110" s="37" t="n">
        <v>360823.216</v>
      </c>
      <c r="E110" s="37" t="n">
        <v>297649.462948059</v>
      </c>
      <c r="F110" s="37" t="n">
        <v>295568.859334059</v>
      </c>
    </row>
    <row r="111" customFormat="false" ht="29.25" hidden="false" customHeight="true" outlineLevel="0" collapsed="false">
      <c r="A111" s="21" t="s">
        <v>75</v>
      </c>
      <c r="B111" s="22" t="s">
        <v>76</v>
      </c>
      <c r="C111" s="23" t="s">
        <v>36</v>
      </c>
      <c r="D111" s="51" t="n">
        <f aca="false">D112+D113</f>
        <v>1907515.65</v>
      </c>
      <c r="E111" s="37" t="n">
        <f aca="false">E112+E113</f>
        <v>1873834.58711194</v>
      </c>
      <c r="F111" s="37" t="n">
        <f aca="false">F112+F113</f>
        <v>1935000</v>
      </c>
    </row>
    <row r="112" customFormat="false" ht="29.25" hidden="false" customHeight="true" outlineLevel="0" collapsed="false">
      <c r="A112" s="28"/>
      <c r="B112" s="22" t="s">
        <v>77</v>
      </c>
      <c r="C112" s="23" t="s">
        <v>36</v>
      </c>
      <c r="D112" s="37" t="n">
        <v>929053.57</v>
      </c>
      <c r="E112" s="37" t="n">
        <v>922515.770091702</v>
      </c>
      <c r="F112" s="37" t="n">
        <v>949090</v>
      </c>
      <c r="J112" s="27"/>
    </row>
    <row r="113" customFormat="false" ht="29.25" hidden="false" customHeight="true" outlineLevel="0" collapsed="false">
      <c r="A113" s="28"/>
      <c r="B113" s="22" t="s">
        <v>78</v>
      </c>
      <c r="C113" s="23" t="s">
        <v>36</v>
      </c>
      <c r="D113" s="37" t="n">
        <v>978462.08</v>
      </c>
      <c r="E113" s="37" t="n">
        <v>951318.817020234</v>
      </c>
      <c r="F113" s="37" t="n">
        <v>985910</v>
      </c>
      <c r="G113" s="42"/>
    </row>
    <row r="114" customFormat="false" ht="29.25" hidden="false" customHeight="tru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1191.056</v>
      </c>
      <c r="E114" s="44" t="n">
        <f aca="false">E116+E117</f>
        <v>1211.424</v>
      </c>
      <c r="F114" s="43" t="n">
        <f aca="false">F116+F117</f>
        <v>1251.848</v>
      </c>
    </row>
    <row r="115" customFormat="false" ht="29.25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29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2.849+1157.684</f>
        <v>1160.533</v>
      </c>
      <c r="E116" s="48" t="n">
        <f aca="false">2.84+1177.775</f>
        <v>1180.615</v>
      </c>
      <c r="F116" s="48" t="n">
        <f aca="false">2.84+1217.783</f>
        <v>1220.623</v>
      </c>
    </row>
    <row r="117" customFormat="false" ht="29.25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30.523</v>
      </c>
      <c r="E117" s="49" t="n">
        <f aca="false">E118+E119+E120</f>
        <v>30.809</v>
      </c>
      <c r="F117" s="49" t="n">
        <f aca="false">F118+F119+F120</f>
        <v>31.225</v>
      </c>
    </row>
    <row r="118" customFormat="false" ht="29.25" hidden="false" customHeight="true" outlineLevel="0" collapsed="false">
      <c r="A118" s="28"/>
      <c r="B118" s="22" t="s">
        <v>72</v>
      </c>
      <c r="C118" s="23" t="s">
        <v>81</v>
      </c>
      <c r="D118" s="43" t="n">
        <v>29.991</v>
      </c>
      <c r="E118" s="43" t="n">
        <v>30.298</v>
      </c>
      <c r="F118" s="43" t="n">
        <v>30.717</v>
      </c>
    </row>
    <row r="119" customFormat="false" ht="29.25" hidden="false" customHeight="true" outlineLevel="0" collapsed="false">
      <c r="A119" s="28"/>
      <c r="B119" s="22" t="s">
        <v>73</v>
      </c>
      <c r="C119" s="23" t="s">
        <v>81</v>
      </c>
      <c r="D119" s="43" t="n">
        <v>0.512</v>
      </c>
      <c r="E119" s="43" t="n">
        <v>0.491</v>
      </c>
      <c r="F119" s="43" t="n">
        <v>0.488</v>
      </c>
    </row>
    <row r="120" customFormat="false" ht="29.25" hidden="false" customHeight="true" outlineLevel="0" collapsed="false">
      <c r="A120" s="28"/>
      <c r="B120" s="22" t="s">
        <v>74</v>
      </c>
      <c r="C120" s="23" t="s">
        <v>81</v>
      </c>
      <c r="D120" s="43" t="n">
        <v>0.02</v>
      </c>
      <c r="E120" s="43" t="n">
        <v>0.02</v>
      </c>
      <c r="F120" s="43" t="n">
        <v>0.02</v>
      </c>
    </row>
    <row r="121" customFormat="false" ht="29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0.046</v>
      </c>
      <c r="E121" s="48" t="n">
        <v>0.036</v>
      </c>
      <c r="F121" s="48" t="n">
        <v>0.03535</v>
      </c>
    </row>
    <row r="122" customFormat="false" ht="29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51" t="n">
        <f aca="false">D124+D125+3578+24821</f>
        <v>1266446</v>
      </c>
      <c r="E122" s="51" t="n">
        <v>1241866</v>
      </c>
      <c r="F122" s="37" t="n">
        <v>1309176</v>
      </c>
      <c r="H122" s="27"/>
    </row>
    <row r="123" customFormat="false" ht="29.25" hidden="false" customHeight="true" outlineLevel="0" collapsed="false">
      <c r="A123" s="28"/>
      <c r="B123" s="22" t="s">
        <v>37</v>
      </c>
      <c r="C123" s="29"/>
      <c r="D123" s="97"/>
      <c r="E123" s="97"/>
      <c r="F123" s="98"/>
    </row>
    <row r="124" customFormat="false" ht="29.25" hidden="false" customHeight="true" outlineLevel="0" collapsed="false">
      <c r="A124" s="21" t="s">
        <v>91</v>
      </c>
      <c r="B124" s="50" t="s">
        <v>92</v>
      </c>
      <c r="C124" s="23" t="s">
        <v>90</v>
      </c>
      <c r="D124" s="37" t="n">
        <v>1153417</v>
      </c>
      <c r="E124" s="37" t="n">
        <v>1177775</v>
      </c>
      <c r="F124" s="37" t="n">
        <v>1217783</v>
      </c>
    </row>
    <row r="125" customFormat="false" ht="29.2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84630</v>
      </c>
      <c r="E125" s="37" t="n">
        <f aca="false">E126+E127+E128</f>
        <v>86023</v>
      </c>
      <c r="F125" s="37" t="n">
        <f aca="false">F126+F127+F128</f>
        <v>87858</v>
      </c>
    </row>
    <row r="126" customFormat="false" ht="29.25" hidden="false" customHeight="true" outlineLevel="0" collapsed="false">
      <c r="A126" s="28"/>
      <c r="B126" s="52" t="s">
        <v>72</v>
      </c>
      <c r="C126" s="53" t="s">
        <v>90</v>
      </c>
      <c r="D126" s="37" t="n">
        <v>82726</v>
      </c>
      <c r="E126" s="37" t="n">
        <v>84199</v>
      </c>
      <c r="F126" s="37" t="n">
        <v>85938</v>
      </c>
    </row>
    <row r="127" customFormat="false" ht="29.25" hidden="false" customHeight="true" outlineLevel="0" collapsed="false">
      <c r="A127" s="28"/>
      <c r="B127" s="52" t="s">
        <v>73</v>
      </c>
      <c r="C127" s="53" t="s">
        <v>90</v>
      </c>
      <c r="D127" s="37" t="n">
        <v>1713</v>
      </c>
      <c r="E127" s="37" t="n">
        <v>1672</v>
      </c>
      <c r="F127" s="37" t="n">
        <v>1668</v>
      </c>
    </row>
    <row r="128" customFormat="false" ht="29.25" hidden="false" customHeight="true" outlineLevel="0" collapsed="false">
      <c r="A128" s="28"/>
      <c r="B128" s="52" t="s">
        <v>74</v>
      </c>
      <c r="C128" s="53" t="s">
        <v>90</v>
      </c>
      <c r="D128" s="37" t="n">
        <v>191</v>
      </c>
      <c r="E128" s="37" t="n">
        <v>152</v>
      </c>
      <c r="F128" s="37" t="n">
        <v>252</v>
      </c>
    </row>
    <row r="129" customFormat="false" ht="29.2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29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4162035.93</v>
      </c>
      <c r="E130" s="37" t="n">
        <v>4806582.16</v>
      </c>
      <c r="F130" s="37" t="n">
        <v>6868033.55919109</v>
      </c>
    </row>
    <row r="131" customFormat="false" ht="29.25" hidden="false" customHeight="tru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954.3</v>
      </c>
      <c r="E132" s="37" t="n">
        <v>1096.2</v>
      </c>
      <c r="F132" s="37" t="n">
        <v>1096.2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84.1</v>
      </c>
      <c r="E133" s="59" t="n">
        <v>83.8</v>
      </c>
      <c r="F133" s="59" t="n">
        <v>87.2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566783.7</v>
      </c>
      <c r="E135" s="37" t="n">
        <v>564315.66</v>
      </c>
      <c r="F135" s="37" t="n">
        <v>835125.983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674857.04</v>
      </c>
      <c r="E136" s="37" t="n">
        <v>764688.47</v>
      </c>
      <c r="F136" s="37" t="n">
        <v>791175.21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328393.9</v>
      </c>
      <c r="E137" s="37" t="n">
        <v>357122.58</v>
      </c>
      <c r="F137" s="37" t="n">
        <v>400552.674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0.0789022261035599</v>
      </c>
      <c r="E139" s="60" t="n">
        <f aca="false">E137/E130*100%</f>
        <v>0.0742986529954582</v>
      </c>
      <c r="F139" s="60" t="n">
        <f aca="false">F137/F130*100%</f>
        <v>0.0583213041328203</v>
      </c>
    </row>
    <row r="140" customFormat="false" ht="210.75" hidden="false" customHeight="true" outlineLevel="0" collapsed="false">
      <c r="A140" s="61" t="s">
        <v>122</v>
      </c>
      <c r="B140" s="62" t="s">
        <v>123</v>
      </c>
      <c r="C140" s="63"/>
      <c r="D140" s="64" t="s">
        <v>144</v>
      </c>
      <c r="E140" s="64" t="s">
        <v>144</v>
      </c>
      <c r="F140" s="99" t="s">
        <v>145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101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153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102" t="s">
        <v>155</v>
      </c>
      <c r="E156" s="71" t="s">
        <v>156</v>
      </c>
      <c r="F156" s="18" t="s">
        <v>131</v>
      </c>
      <c r="G156" s="18" t="s">
        <v>147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56"/>
      <c r="E157" s="76"/>
      <c r="F157" s="76"/>
      <c r="G157" s="75"/>
      <c r="H157" s="77"/>
      <c r="I157" s="103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56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78" t="n">
        <v>595.29</v>
      </c>
      <c r="E159" s="78" t="n">
        <v>595.17</v>
      </c>
      <c r="F159" s="78" t="n">
        <v>595.17</v>
      </c>
      <c r="G159" s="78" t="n">
        <v>973.14</v>
      </c>
      <c r="H159" s="78" t="n">
        <v>973.14</v>
      </c>
      <c r="I159" s="79" t="n">
        <f aca="false">1246.4768*1.2</f>
        <v>1495.77216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249.47</v>
      </c>
      <c r="E160" s="21" t="n">
        <v>235.92</v>
      </c>
      <c r="F160" s="21" t="n">
        <v>227.09</v>
      </c>
      <c r="G160" s="21" t="n">
        <v>227.09</v>
      </c>
      <c r="H160" s="21" t="n">
        <v>227.09</v>
      </c>
      <c r="I160" s="79" t="n">
        <v>276.770059493512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5"/>
      <c r="F161" s="75"/>
      <c r="G161" s="75"/>
      <c r="H161" s="75"/>
      <c r="I161" s="76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439.05</v>
      </c>
      <c r="E162" s="80" t="n">
        <v>368.88</v>
      </c>
      <c r="F162" s="80" t="n">
        <v>368.88</v>
      </c>
      <c r="G162" s="80" t="n">
        <v>430.07</v>
      </c>
      <c r="H162" s="80" t="n">
        <v>430.07</v>
      </c>
      <c r="I162" s="104" t="n">
        <v>531.384998008725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378.73</v>
      </c>
      <c r="E163" s="80" t="n">
        <v>309.16</v>
      </c>
      <c r="F163" s="80" t="n">
        <v>309.16</v>
      </c>
      <c r="G163" s="80" t="n">
        <v>423.73</v>
      </c>
      <c r="H163" s="80" t="n">
        <v>423.73</v>
      </c>
      <c r="I163" s="104" t="n">
        <v>476.8374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5" t="n">
        <v>335.94</v>
      </c>
      <c r="E164" s="85" t="n">
        <v>265.48</v>
      </c>
      <c r="F164" s="85" t="n">
        <v>265.48</v>
      </c>
      <c r="G164" s="85" t="n">
        <v>337.77</v>
      </c>
      <c r="H164" s="85" t="n">
        <v>337.77</v>
      </c>
      <c r="I164" s="85" t="n">
        <v>468.1832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101"/>
      <c r="E166" s="68"/>
      <c r="F166" s="68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F140" r:id="rId2" display="Предложения по корректировке инвестиционной программы ПАО &quot;Красноярскэнергосбыт на 2024-2028 гг     http://www.krskstate.ru/dat/bin/art_attach/22415_materiali_proekta_ipr_pao_krasnoyrskqnergosbit_ot_11.04.2023.zip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6"/>
  <sheetViews>
    <sheetView showFormulas="false" showGridLines="true" showRowColHeaders="true" showZeros="true" rightToLeft="false" tabSelected="false" showOutlineSymbols="true" defaultGridColor="true" view="normal" topLeftCell="A34" colorId="64" zoomScale="87" zoomScaleNormal="87" zoomScalePageLayoutView="100" workbookViewId="0">
      <selection pane="topLeft" activeCell="G51" activeCellId="0" sqref="G51"/>
    </sheetView>
  </sheetViews>
  <sheetFormatPr defaultRowHeight="14.2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86" width="20.57"/>
    <col collapsed="false" customWidth="true" hidden="false" outlineLevel="0" max="6" min="5" style="2" width="20.57"/>
    <col collapsed="false" customWidth="true" hidden="false" outlineLevel="0" max="9" min="7" style="1" width="15.29"/>
    <col collapsed="false" customWidth="true" hidden="false" outlineLevel="0" max="10" min="10" style="1" width="10.13"/>
    <col collapsed="false" customWidth="true" hidden="false" outlineLevel="0" max="11" min="11" style="1" width="9.13"/>
    <col collapsed="false" customWidth="true" hidden="false" outlineLevel="0" max="13" min="12" style="1" width="10.13"/>
    <col collapsed="false" customWidth="true" hidden="false" outlineLevel="0" max="1025" min="14" style="1" width="9.13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157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87"/>
    </row>
    <row r="12" customFormat="false" ht="15" hidden="false" customHeight="false" outlineLevel="0" collapsed="false">
      <c r="A12" s="8"/>
      <c r="C12" s="8"/>
      <c r="D12" s="88"/>
    </row>
    <row r="13" customFormat="false" ht="15" hidden="false" customHeight="false" outlineLevel="0" collapsed="false">
      <c r="A13" s="7"/>
      <c r="C13" s="7"/>
      <c r="D13" s="87"/>
    </row>
    <row r="14" customFormat="false" ht="15" hidden="false" customHeight="false" outlineLevel="0" collapsed="false">
      <c r="A14" s="7"/>
      <c r="C14" s="7"/>
      <c r="D14" s="8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  <c r="E44" s="89"/>
    </row>
    <row r="45" customFormat="false" ht="14.25" hidden="false" customHeight="false" outlineLevel="0" collapsed="false">
      <c r="A45" s="6"/>
      <c r="E45" s="89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90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20" t="s">
        <v>158</v>
      </c>
      <c r="E48" s="19" t="s">
        <v>159</v>
      </c>
      <c r="F48" s="20" t="s">
        <v>160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51" t="n">
        <f aca="false">D51+D101+D111</f>
        <v>11336778.913</v>
      </c>
      <c r="E49" s="25" t="n">
        <f aca="false">E51+E101+E111</f>
        <v>10826372.87</v>
      </c>
      <c r="F49" s="25" t="n">
        <f aca="false">F51+F101+F111</f>
        <v>10762000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92"/>
      <c r="E50" s="32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D52+D55+D94</f>
        <v>3730022.173</v>
      </c>
      <c r="E51" s="33" t="n">
        <f aca="false">E52+E55+E94</f>
        <v>3765059.8</v>
      </c>
      <c r="F51" s="33" t="n">
        <f aca="false">F52+F55+F94</f>
        <v>3870000</v>
      </c>
      <c r="G51" s="34"/>
      <c r="H51" s="35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D60+D67+D88+D81</f>
        <v>1969226.286</v>
      </c>
      <c r="E52" s="33" t="n">
        <f aca="false">E60+E67+E88+E81</f>
        <v>2062654.54721068</v>
      </c>
      <c r="F52" s="33" t="n">
        <f aca="false">F60+F67+F88+F81</f>
        <v>2041922.42727424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D61+D68+D89+D82</f>
        <v>990362.105</v>
      </c>
      <c r="E53" s="33" t="n">
        <f aca="false">E61+E68+E89+E82</f>
        <v>1030372.67924306</v>
      </c>
      <c r="F53" s="33" t="n">
        <f aca="false">F61+F68+F89+F82</f>
        <v>1028572.98305161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D62+D69+D90+D83</f>
        <v>978864.181</v>
      </c>
      <c r="E54" s="33" t="n">
        <f aca="false">E62+E69+E90+E83</f>
        <v>1032281.86796762</v>
      </c>
      <c r="F54" s="33" t="n">
        <f aca="false">F62+F69+F90+F83</f>
        <v>1013349.44422264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D63+D70+D91+D84</f>
        <v>1511607.967</v>
      </c>
      <c r="E55" s="33" t="n">
        <f aca="false">E63+E70+E91+E84</f>
        <v>1456439.81127258</v>
      </c>
      <c r="F55" s="33" t="n">
        <f aca="false">F63+F70+F91+F84</f>
        <v>1566295.2068511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D64+D71+D92+D85</f>
        <v>804925.857</v>
      </c>
      <c r="E56" s="33" t="n">
        <f aca="false">E64+E71+E92+E85</f>
        <v>812775.308695941</v>
      </c>
      <c r="F56" s="33" t="n">
        <f aca="false">F64+F71+F92+F85</f>
        <v>843826.453760755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D65+D72+D93+D86</f>
        <v>706682.11</v>
      </c>
      <c r="E57" s="33" t="n">
        <f aca="false">E65+E72+E93+E86</f>
        <v>643664.502576636</v>
      </c>
      <c r="F57" s="33" t="n">
        <f aca="false">F65+F72+F93+F86</f>
        <v>722468.753090346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2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359383.768</v>
      </c>
      <c r="E59" s="33" t="n">
        <f aca="false">E60+E63</f>
        <v>380220.150812757</v>
      </c>
      <c r="F59" s="33" t="n">
        <f aca="false">F60+F63</f>
        <v>371068.771082043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230687.272</v>
      </c>
      <c r="E60" s="33" t="n">
        <f aca="false">E61+E62</f>
        <v>247159.910792193</v>
      </c>
      <c r="F60" s="33" t="n">
        <f aca="false">F61+F62</f>
        <v>238734.971427028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7" t="n">
        <v>116204</v>
      </c>
      <c r="E61" s="37" t="n">
        <v>123616.683416088</v>
      </c>
      <c r="F61" s="37" t="n">
        <v>120484.056061227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7" t="n">
        <v>114483.272</v>
      </c>
      <c r="E62" s="37" t="n">
        <v>123543.227376105</v>
      </c>
      <c r="F62" s="37" t="n">
        <v>118250.915365801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7" t="n">
        <f aca="false">D64+D65</f>
        <v>128696.496</v>
      </c>
      <c r="E63" s="37" t="n">
        <f aca="false">E64+E65</f>
        <v>133060.240020564</v>
      </c>
      <c r="F63" s="37" t="n">
        <f aca="false">F64+F65</f>
        <v>132333.799655015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7" t="n">
        <v>68014.099</v>
      </c>
      <c r="E64" s="37" t="n">
        <v>76356.3594415781</v>
      </c>
      <c r="F64" s="37" t="n">
        <v>69282.8731058105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7" t="n">
        <v>60682.397</v>
      </c>
      <c r="E65" s="37" t="n">
        <v>56703.8805789859</v>
      </c>
      <c r="F65" s="37" t="n">
        <v>63050.9265492045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7" t="n">
        <f aca="false">D67+D70</f>
        <v>1879575.449</v>
      </c>
      <c r="E66" s="37" t="n">
        <f aca="false">E67+E70</f>
        <v>1901909.00888128</v>
      </c>
      <c r="F66" s="37" t="n">
        <f aca="false">F67+F70</f>
        <v>1945498.85084239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7" t="n">
        <f aca="false">D68+D69</f>
        <v>1194401.799</v>
      </c>
      <c r="E67" s="37" t="n">
        <f aca="false">E68+E69</f>
        <v>1240939.75995932</v>
      </c>
      <c r="F67" s="37" t="n">
        <f aca="false">F68+F69</f>
        <v>1234979.70325069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7" t="n">
        <v>602384.062</v>
      </c>
      <c r="E68" s="37" t="n">
        <v>620834.798183768</v>
      </c>
      <c r="F68" s="37" t="n">
        <v>623665.333914069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7" t="n">
        <v>592017.737</v>
      </c>
      <c r="E69" s="37" t="n">
        <v>620104.961775556</v>
      </c>
      <c r="F69" s="37" t="n">
        <v>611314.369336616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7" t="n">
        <f aca="false">D71+D72</f>
        <v>685173.65</v>
      </c>
      <c r="E70" s="37" t="n">
        <f aca="false">E71+E72</f>
        <v>660969.248921954</v>
      </c>
      <c r="F70" s="37" t="n">
        <f aca="false">F71+F72</f>
        <v>710519.1475917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v>359544.78</v>
      </c>
      <c r="E71" s="37" t="n">
        <v>359262.421332628</v>
      </c>
      <c r="F71" s="37" t="n">
        <v>375827.06762746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v>325628.87</v>
      </c>
      <c r="E72" s="37" t="n">
        <v>301706.827589326</v>
      </c>
      <c r="F72" s="37" t="n">
        <v>334692.07996424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7" t="n">
        <f aca="false">D74+D77</f>
        <v>0</v>
      </c>
      <c r="E73" s="37" t="n">
        <f aca="false">E74+E77</f>
        <v>0</v>
      </c>
      <c r="F73" s="37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7" t="n">
        <f aca="false">D75+D76</f>
        <v>0</v>
      </c>
      <c r="E74" s="37" t="n">
        <f aca="false">E75+E76</f>
        <v>0</v>
      </c>
      <c r="F74" s="37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7"/>
      <c r="E75" s="37"/>
      <c r="F75" s="37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7"/>
      <c r="E76" s="37"/>
      <c r="F76" s="37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7" t="n">
        <f aca="false">D78+D79</f>
        <v>0</v>
      </c>
      <c r="E77" s="37" t="n">
        <f aca="false">E78+E79</f>
        <v>0</v>
      </c>
      <c r="F77" s="37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7"/>
      <c r="E78" s="37"/>
      <c r="F78" s="37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7"/>
      <c r="E79" s="37"/>
      <c r="F79" s="37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7" t="n">
        <f aca="false">D81+D84</f>
        <v>10332.147</v>
      </c>
      <c r="E80" s="37" t="n">
        <f aca="false">E81+E84</f>
        <v>14087.7004171118</v>
      </c>
      <c r="F80" s="37" t="n">
        <f aca="false">F81+F84</f>
        <v>10356.3383292257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7" t="n">
        <f aca="false">D82+D83</f>
        <v>1716.379</v>
      </c>
      <c r="E81" s="37" t="n">
        <f aca="false">E82+E83</f>
        <v>1893.2327586349</v>
      </c>
      <c r="F81" s="37" t="n">
        <f aca="false">F82+F83</f>
        <v>1714.86956300725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7" t="n">
        <v>881.295</v>
      </c>
      <c r="E82" s="37" t="n">
        <v>979.117211265552</v>
      </c>
      <c r="F82" s="37" t="n">
        <v>906.261229870656</v>
      </c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7" t="n">
        <v>835.084</v>
      </c>
      <c r="E83" s="37" t="n">
        <v>914.115547369349</v>
      </c>
      <c r="F83" s="37" t="n">
        <v>808.608333136597</v>
      </c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7" t="n">
        <f aca="false">D85+D86</f>
        <v>8615.768</v>
      </c>
      <c r="E84" s="37" t="n">
        <f aca="false">E85+E86</f>
        <v>12194.4676584769</v>
      </c>
      <c r="F84" s="37" t="n">
        <f aca="false">F85+F86</f>
        <v>8641.46876621841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7" t="n">
        <v>5537.452</v>
      </c>
      <c r="E85" s="37" t="n">
        <v>6553.44485117675</v>
      </c>
      <c r="F85" s="37" t="n">
        <v>5806.57404729984</v>
      </c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7" t="n">
        <v>3078.316</v>
      </c>
      <c r="E86" s="37" t="n">
        <v>5641.02280730018</v>
      </c>
      <c r="F86" s="37" t="n">
        <v>2834.89471891857</v>
      </c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7" t="n">
        <f aca="false">D88+D91</f>
        <v>1231542.889</v>
      </c>
      <c r="E87" s="37" t="n">
        <f aca="false">E88+E91</f>
        <v>1222877.49837211</v>
      </c>
      <c r="F87" s="37" t="n">
        <f aca="false">F88+F91</f>
        <v>1281293.67387169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7" t="n">
        <f aca="false">D89+D90</f>
        <v>542420.836</v>
      </c>
      <c r="E88" s="37" t="n">
        <f aca="false">E89+E90</f>
        <v>572661.64370053</v>
      </c>
      <c r="F88" s="37" t="n">
        <f aca="false">F89+F90</f>
        <v>566492.883033522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7" t="n">
        <v>270892.748</v>
      </c>
      <c r="E89" s="37" t="n">
        <v>284942.080431939</v>
      </c>
      <c r="F89" s="37" t="n">
        <v>283517.33184644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7" t="n">
        <v>271528.088</v>
      </c>
      <c r="E90" s="37" t="n">
        <v>287719.56326859</v>
      </c>
      <c r="F90" s="37" t="n">
        <v>282975.551187082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51" t="n">
        <f aca="false">D92+D93</f>
        <v>689122.053</v>
      </c>
      <c r="E91" s="37" t="n">
        <f aca="false">E92+E93</f>
        <v>650215.854671582</v>
      </c>
      <c r="F91" s="37" t="n">
        <f aca="false">F92+F93</f>
        <v>714800.790838168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7" t="n">
        <v>371829.526</v>
      </c>
      <c r="E92" s="37" t="n">
        <v>370603.083070558</v>
      </c>
      <c r="F92" s="37" t="n">
        <v>392909.938980185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7" t="n">
        <v>317292.527</v>
      </c>
      <c r="E93" s="37" t="n">
        <v>279612.771601024</v>
      </c>
      <c r="F93" s="37" t="n">
        <v>321890.851857983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95" t="n">
        <f aca="false">D95+D98</f>
        <v>249187.92</v>
      </c>
      <c r="E94" s="96" t="n">
        <f aca="false">E95+E98</f>
        <v>245965.441516742</v>
      </c>
      <c r="F94" s="96" t="n">
        <f aca="false">F95+F98</f>
        <v>261782.365874657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95" t="n">
        <f aca="false">D96+D97</f>
        <v>149105.073</v>
      </c>
      <c r="E95" s="96" t="n">
        <f aca="false">E96+E97</f>
        <v>134861.272789319</v>
      </c>
      <c r="F95" s="96" t="n">
        <f aca="false">F96+F97</f>
        <v>155629.592726576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72365.338</v>
      </c>
      <c r="E96" s="96" t="n">
        <v>72210.6307569399</v>
      </c>
      <c r="F96" s="96" t="n">
        <v>74827.9969478858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76739.735</v>
      </c>
      <c r="E97" s="96" t="n">
        <v>62650.6420323791</v>
      </c>
      <c r="F97" s="96" t="n">
        <v>80801.5957786899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95" t="n">
        <f aca="false">D99+D100</f>
        <v>100082.847</v>
      </c>
      <c r="E98" s="96" t="n">
        <f aca="false">E99+E100</f>
        <v>111104.168727423</v>
      </c>
      <c r="F98" s="96" t="n">
        <f aca="false">F99+F100</f>
        <v>106152.773148081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52633.389</v>
      </c>
      <c r="E99" s="96" t="n">
        <v>55335.9813040594</v>
      </c>
      <c r="F99" s="96" t="n">
        <v>58722.5662397531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47449.458</v>
      </c>
      <c r="E100" s="96" t="n">
        <v>55768.1874233639</v>
      </c>
      <c r="F100" s="96" t="n">
        <v>47430.2069083279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51" t="n">
        <f aca="false">D102+D105+D108</f>
        <v>5721440.574</v>
      </c>
      <c r="E101" s="37" t="n">
        <f aca="false">E102+E105+E108</f>
        <v>5143163.21760148</v>
      </c>
      <c r="F101" s="37" t="n">
        <f aca="false">F102+F105+F108</f>
        <v>5060000</v>
      </c>
      <c r="G101" s="41"/>
      <c r="H101" s="42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51" t="n">
        <f aca="false">D103+D104</f>
        <v>3163874.807</v>
      </c>
      <c r="E102" s="37" t="n">
        <f aca="false">E103+E104</f>
        <v>2804808.25308978</v>
      </c>
      <c r="F102" s="37" t="n">
        <f aca="false">F103+F104</f>
        <v>3051358.07378506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7" t="n">
        <v>1636021.932</v>
      </c>
      <c r="E103" s="37" t="n">
        <v>1465796.22878618</v>
      </c>
      <c r="F103" s="37" t="n">
        <v>1604640.75356572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7" t="n">
        <v>1527852.875</v>
      </c>
      <c r="E104" s="37" t="n">
        <v>1339012.02430361</v>
      </c>
      <c r="F104" s="37" t="n">
        <v>1446717.32021935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7" t="n">
        <f aca="false">D106+D107</f>
        <v>1766311.336</v>
      </c>
      <c r="E105" s="37" t="n">
        <f aca="false">E106+E107</f>
        <v>1586092.47318143</v>
      </c>
      <c r="F105" s="37" t="n">
        <f aca="false">F106+F107</f>
        <v>1570831.21615845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7" t="n">
        <v>935515.221</v>
      </c>
      <c r="E106" s="37" t="n">
        <v>823762.753211957</v>
      </c>
      <c r="F106" s="37" t="n">
        <v>828994.693932163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7" t="n">
        <v>830796.115</v>
      </c>
      <c r="E107" s="37" t="n">
        <v>762329.719969473</v>
      </c>
      <c r="F107" s="37" t="n">
        <v>741836.522226287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7" t="n">
        <f aca="false">D109+D110</f>
        <v>791254.431</v>
      </c>
      <c r="E108" s="37" t="n">
        <f aca="false">E109+E110</f>
        <v>752262.491330263</v>
      </c>
      <c r="F108" s="37" t="n">
        <f aca="false">F109+F110</f>
        <v>437810.710056487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7" t="n">
        <v>424180.898</v>
      </c>
      <c r="E109" s="37" t="n">
        <v>393889.963108914</v>
      </c>
      <c r="F109" s="37" t="n">
        <v>230674.552502121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7" t="n">
        <v>367073.533</v>
      </c>
      <c r="E110" s="37" t="n">
        <v>358372.528221349</v>
      </c>
      <c r="F110" s="37" t="n">
        <v>207136.157554366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51" t="n">
        <f aca="false">D112+D113</f>
        <v>1885316.166</v>
      </c>
      <c r="E111" s="37" t="n">
        <f aca="false">E112+E113</f>
        <v>1918149.85239852</v>
      </c>
      <c r="F111" s="37" t="n">
        <f aca="false">F112+F113</f>
        <v>1832000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7" t="n">
        <v>902305.853</v>
      </c>
      <c r="E112" s="37" t="n">
        <v>943067.624892952</v>
      </c>
      <c r="F112" s="37" t="n">
        <v>901920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7" t="n">
        <v>983010.313</v>
      </c>
      <c r="E113" s="37" t="n">
        <v>975082.227505573</v>
      </c>
      <c r="F113" s="37" t="n">
        <v>930080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1164.701</v>
      </c>
      <c r="E114" s="44" t="n">
        <f aca="false">E116+E117</f>
        <v>1191.056</v>
      </c>
      <c r="F114" s="43" t="n">
        <f aca="false">F116+F117</f>
        <v>1217.909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2.84+1131.877</f>
        <v>1134.717</v>
      </c>
      <c r="E116" s="48" t="n">
        <f aca="false">2.849+1157.684</f>
        <v>1160.533</v>
      </c>
      <c r="F116" s="48" t="n">
        <f aca="false">2.849+1184.079</f>
        <v>1186.928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29.984</v>
      </c>
      <c r="E117" s="49" t="n">
        <f aca="false">E118+E119+E120</f>
        <v>30.523</v>
      </c>
      <c r="F117" s="49" t="n">
        <f aca="false">F118+F119+F120</f>
        <v>30.981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43" t="n">
        <v>29.466</v>
      </c>
      <c r="E118" s="43" t="n">
        <v>29.991</v>
      </c>
      <c r="F118" s="43" t="n">
        <v>30.44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43" t="n">
        <v>0.498</v>
      </c>
      <c r="E119" s="43" t="n">
        <v>0.512</v>
      </c>
      <c r="F119" s="43" t="n">
        <v>0.521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43" t="n">
        <v>0.02</v>
      </c>
      <c r="E120" s="43" t="n">
        <v>0.02</v>
      </c>
      <c r="F120" s="43" t="n">
        <v>0.02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0.046</v>
      </c>
      <c r="E121" s="48" t="n">
        <v>0.036</v>
      </c>
      <c r="F121" s="48" t="n">
        <v>0.036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51" t="n">
        <f aca="false">D124+D125+3578+24821</f>
        <v>1300871</v>
      </c>
      <c r="E122" s="51" t="n">
        <v>1241866</v>
      </c>
      <c r="F122" s="37" t="n">
        <v>1299177</v>
      </c>
      <c r="H122" s="27"/>
    </row>
    <row r="123" customFormat="false" ht="24.75" hidden="false" customHeight="true" outlineLevel="0" collapsed="false">
      <c r="A123" s="28"/>
      <c r="B123" s="22" t="s">
        <v>37</v>
      </c>
      <c r="C123" s="29"/>
      <c r="D123" s="97"/>
      <c r="E123" s="97"/>
      <c r="F123" s="98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37" t="n">
        <f aca="false">1158884+28548</f>
        <v>1187432</v>
      </c>
      <c r="E124" s="37" t="n">
        <v>1128218</v>
      </c>
      <c r="F124" s="37" t="n">
        <v>1182749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85040</v>
      </c>
      <c r="E125" s="37" t="n">
        <f aca="false">E126+E127+E128</f>
        <v>84630</v>
      </c>
      <c r="F125" s="37" t="n">
        <f aca="false">F126+F127+F128</f>
        <v>86548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37" t="n">
        <v>83190</v>
      </c>
      <c r="E126" s="37" t="n">
        <v>82726</v>
      </c>
      <c r="F126" s="37" t="n">
        <v>84780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37" t="n">
        <v>1697</v>
      </c>
      <c r="E127" s="37" t="n">
        <v>1713</v>
      </c>
      <c r="F127" s="37" t="n">
        <v>1635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37" t="n">
        <v>153</v>
      </c>
      <c r="E128" s="37" t="n">
        <v>191</v>
      </c>
      <c r="F128" s="37" t="n">
        <v>133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3290934</v>
      </c>
      <c r="E130" s="37" t="n">
        <v>4162035.93</v>
      </c>
      <c r="F130" s="37" t="n">
        <v>6497558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1047.1</v>
      </c>
      <c r="E132" s="59" t="n">
        <v>1191.5</v>
      </c>
      <c r="F132" s="59" t="n">
        <v>1191.5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73.5</v>
      </c>
      <c r="E133" s="59" t="n">
        <v>79.857</v>
      </c>
      <c r="F133" s="59" t="n">
        <v>83.157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347126.08</v>
      </c>
      <c r="E135" s="37" t="n">
        <v>566783.7</v>
      </c>
      <c r="F135" s="37" t="n">
        <v>480837.89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644591.14</v>
      </c>
      <c r="E136" s="37" t="n">
        <v>674857.04</v>
      </c>
      <c r="F136" s="37" t="n">
        <v>770337.159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345084.04</v>
      </c>
      <c r="E137" s="37" t="n">
        <v>328393.9</v>
      </c>
      <c r="F137" s="37" t="n">
        <v>435762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0.104858997476096</v>
      </c>
      <c r="E139" s="60" t="n">
        <f aca="false">E137/E130*100%</f>
        <v>0.0789022261035599</v>
      </c>
      <c r="F139" s="60" t="n">
        <f aca="false">F137/F130*100%</f>
        <v>0.0670655036861541</v>
      </c>
    </row>
    <row r="140" customFormat="false" ht="210.75" hidden="false" customHeight="true" outlineLevel="0" collapsed="false">
      <c r="A140" s="61" t="s">
        <v>122</v>
      </c>
      <c r="B140" s="62" t="s">
        <v>123</v>
      </c>
      <c r="C140" s="63"/>
      <c r="D140" s="64" t="s">
        <v>144</v>
      </c>
      <c r="E140" s="64" t="s">
        <v>144</v>
      </c>
      <c r="F140" s="99" t="s">
        <v>145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101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159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102" t="s">
        <v>131</v>
      </c>
      <c r="E156" s="71" t="s">
        <v>132</v>
      </c>
      <c r="F156" s="18" t="s">
        <v>155</v>
      </c>
      <c r="G156" s="18" t="s">
        <v>156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56"/>
      <c r="E157" s="76"/>
      <c r="F157" s="76"/>
      <c r="G157" s="75"/>
      <c r="H157" s="77"/>
      <c r="I157" s="103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56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105" t="n">
        <v>425.89</v>
      </c>
      <c r="E159" s="78" t="n">
        <v>429.55</v>
      </c>
      <c r="F159" s="78" t="n">
        <v>595.29</v>
      </c>
      <c r="G159" s="78" t="n">
        <v>595.17</v>
      </c>
      <c r="H159" s="78" t="n">
        <v>595.17</v>
      </c>
      <c r="I159" s="79" t="n">
        <f aca="false">1320.3*1.2</f>
        <v>1584.36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106" t="n">
        <v>143.53</v>
      </c>
      <c r="E160" s="21" t="n">
        <v>143.53</v>
      </c>
      <c r="F160" s="21" t="n">
        <v>249.47</v>
      </c>
      <c r="G160" s="21" t="n">
        <v>235.92</v>
      </c>
      <c r="H160" s="21" t="n">
        <v>235.92</v>
      </c>
      <c r="I160" s="79" t="n">
        <v>284.47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56"/>
      <c r="E161" s="75"/>
      <c r="F161" s="75"/>
      <c r="G161" s="75"/>
      <c r="H161" s="75"/>
      <c r="I161" s="76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107" t="n">
        <v>308.37</v>
      </c>
      <c r="E162" s="80" t="n">
        <v>427.27</v>
      </c>
      <c r="F162" s="80" t="n">
        <v>439.05</v>
      </c>
      <c r="G162" s="80" t="n">
        <v>368.88</v>
      </c>
      <c r="H162" s="80" t="n">
        <v>368.88</v>
      </c>
      <c r="I162" s="104" t="n">
        <v>675.59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107" t="n">
        <v>211.83</v>
      </c>
      <c r="E163" s="80" t="n">
        <v>310.99</v>
      </c>
      <c r="F163" s="80" t="n">
        <v>378.73</v>
      </c>
      <c r="G163" s="80" t="n">
        <v>309.16</v>
      </c>
      <c r="H163" s="80" t="n">
        <v>309.16</v>
      </c>
      <c r="I163" s="104" t="n">
        <v>642.69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108" t="n">
        <v>151.1</v>
      </c>
      <c r="E164" s="85" t="n">
        <v>230.41</v>
      </c>
      <c r="F164" s="85" t="n">
        <v>335.94</v>
      </c>
      <c r="G164" s="85" t="n">
        <v>265.48</v>
      </c>
      <c r="H164" s="85" t="n">
        <v>265.48</v>
      </c>
      <c r="I164" s="85" t="n">
        <v>968.33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101"/>
      <c r="E166" s="68"/>
      <c r="F166" s="68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F140" r:id="rId2" display="Предложения по корректировке инвестиционной программы ПАО &quot;Красноярскэнергосбыт на 2024-2028 гг     http://www.krskstate.ru/dat/bin/art_attach/22415_materiali_proekta_ipr_pao_krasnoyrskqnergosbit_ot_11.04.2023.zip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6"/>
  <sheetViews>
    <sheetView showFormulas="false" showGridLines="true" showRowColHeaders="true" showZeros="true" rightToLeft="false" tabSelected="false" showOutlineSymbols="true" defaultGridColor="true" view="normal" topLeftCell="A148" colorId="64" zoomScale="87" zoomScaleNormal="87" zoomScalePageLayoutView="100" workbookViewId="0">
      <selection pane="topLeft" activeCell="B177" activeCellId="0" sqref="B177"/>
    </sheetView>
  </sheetViews>
  <sheetFormatPr defaultRowHeight="14.2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6" min="4" style="2" width="20.57"/>
    <col collapsed="false" customWidth="true" hidden="false" outlineLevel="0" max="9" min="7" style="1" width="15.29"/>
    <col collapsed="false" customWidth="true" hidden="false" outlineLevel="0" max="10" min="10" style="1" width="10.13"/>
    <col collapsed="false" customWidth="true" hidden="false" outlineLevel="0" max="11" min="11" style="1" width="9.13"/>
    <col collapsed="false" customWidth="true" hidden="false" outlineLevel="0" max="13" min="12" style="1" width="10.13"/>
    <col collapsed="false" customWidth="true" hidden="false" outlineLevel="0" max="1025" min="14" style="1" width="9.13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161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  <c r="E44" s="89"/>
    </row>
    <row r="45" customFormat="false" ht="14.25" hidden="false" customHeight="false" outlineLevel="0" collapsed="false">
      <c r="A45" s="6"/>
      <c r="E45" s="89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109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162</v>
      </c>
      <c r="E48" s="19" t="s">
        <v>163</v>
      </c>
      <c r="F48" s="20" t="s">
        <v>164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24" t="n">
        <f aca="false">D51+D101+D111</f>
        <v>11611033.454</v>
      </c>
      <c r="E49" s="24" t="n">
        <f aca="false">E51+E101+E111</f>
        <v>11231127.21</v>
      </c>
      <c r="F49" s="25" t="n">
        <f aca="false">F51+F101+F111</f>
        <v>10870000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3680247.974</v>
      </c>
      <c r="E51" s="24" t="n">
        <f aca="false">E52+E55+E94</f>
        <v>3694550.7</v>
      </c>
      <c r="F51" s="33" t="n">
        <f aca="false">F52+F55+F94</f>
        <v>3775000</v>
      </c>
      <c r="G51" s="34"/>
      <c r="H51" s="35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2125942.43</v>
      </c>
      <c r="E52" s="24" t="n">
        <f aca="false">E60+E67+E88+E81</f>
        <v>2444950.636</v>
      </c>
      <c r="F52" s="33" t="n">
        <f aca="false">F60+F67+F88+F81</f>
        <v>2082989.51306367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1073108.929</v>
      </c>
      <c r="E53" s="24" t="n">
        <f aca="false">E61+E68+E89+E82</f>
        <v>1285801.57</v>
      </c>
      <c r="F53" s="33" t="n">
        <f aca="false">F61+F68+F89+F82</f>
        <v>1043739.94571768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1052833.501</v>
      </c>
      <c r="E54" s="24" t="n">
        <f aca="false">E62+E69+E90+E83</f>
        <v>1159149.066</v>
      </c>
      <c r="F54" s="33" t="n">
        <f aca="false">F62+F69+F90+F83</f>
        <v>1039249.56734599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D63+D70+D77+D84+D91+D98</f>
        <v>1554305.544</v>
      </c>
      <c r="E55" s="24" t="n">
        <f aca="false">E63+E70+E91+E84</f>
        <v>1028847.888</v>
      </c>
      <c r="F55" s="33" t="n">
        <f aca="false">F63+F70+F91+F84</f>
        <v>1458448.48962797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D64+D71+D78+D85+D92+D99</f>
        <v>873146.142</v>
      </c>
      <c r="E56" s="24" t="n">
        <f aca="false">E64+E71+E92+E85</f>
        <v>536985.784</v>
      </c>
      <c r="F56" s="33" t="n">
        <f aca="false">F64+F71+F92+F85</f>
        <v>811848.895208411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D65+D72+D79+D86+D93+D100</f>
        <v>681159.402</v>
      </c>
      <c r="E57" s="24" t="n">
        <f aca="false">E65+E72+E93+E86</f>
        <v>491862.104000001</v>
      </c>
      <c r="F57" s="33" t="n">
        <f aca="false">F65+F72+F93+F86</f>
        <v>646599.594419558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379304.033</v>
      </c>
      <c r="E59" s="24" t="n">
        <f aca="false">E60+E63</f>
        <v>403924.831292073</v>
      </c>
      <c r="F59" s="33" t="n">
        <f aca="false">F60+F63</f>
        <v>392074.784852099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240854.28</v>
      </c>
      <c r="E60" s="24" t="n">
        <f aca="false">E61+E62</f>
        <v>309503.238167665</v>
      </c>
      <c r="F60" s="33" t="n">
        <f aca="false">F61+F62</f>
        <v>254170.241921327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7" t="n">
        <v>122284.663</v>
      </c>
      <c r="E61" s="37" t="n">
        <v>163450.841363893</v>
      </c>
      <c r="F61" s="37" t="n">
        <v>127145.45687011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7" t="n">
        <v>118569.617</v>
      </c>
      <c r="E62" s="37" t="n">
        <v>146052.396803772</v>
      </c>
      <c r="F62" s="37" t="n">
        <v>127024.785051217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7" t="n">
        <f aca="false">D64+D65</f>
        <v>138449.753</v>
      </c>
      <c r="E63" s="51" t="n">
        <f aca="false">E64+E65</f>
        <v>94421.5931244082</v>
      </c>
      <c r="F63" s="37" t="n">
        <f aca="false">F64+F65</f>
        <v>137904.542930773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7" t="n">
        <v>78918.679</v>
      </c>
      <c r="E64" s="51" t="n">
        <v>49928.3005930377</v>
      </c>
      <c r="F64" s="37" t="n">
        <v>78181.2912920465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7" t="n">
        <v>59531.074</v>
      </c>
      <c r="E65" s="51" t="n">
        <v>44493.2925313705</v>
      </c>
      <c r="F65" s="37" t="n">
        <v>59723.2516387262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7" t="n">
        <f aca="false">D67+D70</f>
        <v>1871722.374</v>
      </c>
      <c r="E66" s="51" t="n">
        <f aca="false">E67+E70</f>
        <v>1848303.90422084</v>
      </c>
      <c r="F66" s="37" t="n">
        <f aca="false">F67+F70</f>
        <v>1904376.60889484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7" t="n">
        <f aca="false">D68+D69</f>
        <v>1198773.253</v>
      </c>
      <c r="E67" s="51" t="n">
        <f aca="false">E68+E69</f>
        <v>1362316.25872359</v>
      </c>
      <c r="F67" s="37" t="n">
        <f aca="false">F68+F69</f>
        <v>1250624.41580927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7" t="n">
        <v>605699.973</v>
      </c>
      <c r="E68" s="51" t="n">
        <f aca="false">749326.244166324-37261.4142073936</f>
        <v>712064.82995893</v>
      </c>
      <c r="F68" s="37" t="n">
        <f aca="false">628058.837568785-942.534428692478</f>
        <v>627116.303140093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7" t="n">
        <v>593073.28</v>
      </c>
      <c r="E69" s="51" t="n">
        <f aca="false">682893.304190862-32641.8754262069</f>
        <v>650251.428764655</v>
      </c>
      <c r="F69" s="37" t="n">
        <f aca="false">624447.413050983-939.300381808277</f>
        <v>623508.112669175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7" t="n">
        <f aca="false">D71+D72</f>
        <v>672949.121</v>
      </c>
      <c r="E70" s="51" t="n">
        <f aca="false">E71+E72</f>
        <v>485987.645497253</v>
      </c>
      <c r="F70" s="37" t="n">
        <f aca="false">F71+F72</f>
        <v>653752.193085572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v>369565.683</v>
      </c>
      <c r="E71" s="51" t="n">
        <f aca="false">262721.229908619-10335.04967185</f>
        <v>252386.180236769</v>
      </c>
      <c r="F71" s="37" t="n">
        <f aca="false">360467.75052678-6497.39417832089</f>
        <v>353970.356348459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v>303383.438</v>
      </c>
      <c r="E72" s="51" t="n">
        <f aca="false">243930.337162058-10328.8719015741</f>
        <v>233601.465260484</v>
      </c>
      <c r="F72" s="37" t="n">
        <f aca="false">305553.80894579-5771.97220867752</f>
        <v>299781.836737112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7" t="n">
        <f aca="false">D74+D77</f>
        <v>0</v>
      </c>
      <c r="E73" s="51" t="n">
        <f aca="false">E74+E77</f>
        <v>0</v>
      </c>
      <c r="F73" s="37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7" t="n">
        <f aca="false">D75+D76</f>
        <v>0</v>
      </c>
      <c r="E74" s="51" t="n">
        <f aca="false">E75+E76</f>
        <v>0</v>
      </c>
      <c r="F74" s="37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7"/>
      <c r="E75" s="51"/>
      <c r="F75" s="37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7"/>
      <c r="E76" s="51"/>
      <c r="F76" s="37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7" t="n">
        <f aca="false">D78+D79</f>
        <v>0</v>
      </c>
      <c r="E77" s="51" t="n">
        <f aca="false">E78+E79</f>
        <v>0</v>
      </c>
      <c r="F77" s="37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7"/>
      <c r="E78" s="51"/>
      <c r="F78" s="37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7"/>
      <c r="E79" s="51"/>
      <c r="F79" s="37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7" t="n">
        <f aca="false">D81+D84</f>
        <v>0</v>
      </c>
      <c r="E80" s="51" t="n">
        <f aca="false">E81+E84</f>
        <v>90567.2112070246</v>
      </c>
      <c r="F80" s="37" t="n">
        <f aca="false">F81+F84</f>
        <v>14151.2011974992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7" t="n">
        <f aca="false">D82+D83</f>
        <v>0</v>
      </c>
      <c r="E81" s="51" t="n">
        <f aca="false">E82+E83</f>
        <v>69903.2896336005</v>
      </c>
      <c r="F81" s="37" t="n">
        <f aca="false">F82+F83</f>
        <v>1881.83481050076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7"/>
      <c r="E82" s="110" t="n">
        <v>37261.4142073936</v>
      </c>
      <c r="F82" s="37" t="n">
        <v>942.534428692478</v>
      </c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7"/>
      <c r="E83" s="110" t="n">
        <v>32641.8754262069</v>
      </c>
      <c r="F83" s="37" t="n">
        <v>939.300381808277</v>
      </c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7" t="n">
        <f aca="false">D85+D86</f>
        <v>0</v>
      </c>
      <c r="E84" s="51" t="n">
        <f aca="false">E85+E86</f>
        <v>20663.9215734241</v>
      </c>
      <c r="F84" s="37" t="n">
        <f aca="false">F85+F86</f>
        <v>12269.3663869984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7"/>
      <c r="E85" s="51" t="n">
        <v>10335.04967185</v>
      </c>
      <c r="F85" s="37" t="n">
        <v>6497.39417832089</v>
      </c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7"/>
      <c r="E86" s="51" t="n">
        <v>10328.8719015741</v>
      </c>
      <c r="F86" s="37" t="n">
        <v>5771.97220867752</v>
      </c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7" t="n">
        <f aca="false">D88+D91</f>
        <v>1196629.954</v>
      </c>
      <c r="E87" s="51" t="n">
        <f aca="false">E88+E91</f>
        <v>1131002.57728006</v>
      </c>
      <c r="F87" s="37" t="n">
        <f aca="false">F88+F91</f>
        <v>1230835.40774721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7" t="n">
        <f aca="false">D89+D90</f>
        <v>542386.685</v>
      </c>
      <c r="E88" s="51" t="n">
        <f aca="false">E89+E90</f>
        <v>703227.849475149</v>
      </c>
      <c r="F88" s="37" t="n">
        <f aca="false">F89+F90</f>
        <v>576313.020522579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7" t="n">
        <v>274986.42</v>
      </c>
      <c r="E89" s="51" t="n">
        <v>373024.484469783</v>
      </c>
      <c r="F89" s="37" t="n">
        <v>288535.651278788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7" t="n">
        <v>267400.265</v>
      </c>
      <c r="E90" s="51" t="n">
        <v>330203.365005366</v>
      </c>
      <c r="F90" s="37" t="n">
        <v>287777.369243791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51" t="n">
        <f aca="false">D92+D93</f>
        <v>654243.269</v>
      </c>
      <c r="E91" s="51" t="n">
        <f aca="false">E92+E93</f>
        <v>427774.727804916</v>
      </c>
      <c r="F91" s="37" t="n">
        <f aca="false">F92+F93</f>
        <v>654522.387224626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7" t="n">
        <v>371579.031</v>
      </c>
      <c r="E92" s="51" t="n">
        <v>224336.253498344</v>
      </c>
      <c r="F92" s="37" t="n">
        <v>373199.853389585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7" t="n">
        <v>282664.238</v>
      </c>
      <c r="E93" s="51" t="n">
        <v>203438.474306572</v>
      </c>
      <c r="F93" s="37" t="n">
        <v>281322.533835041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95" t="n">
        <f aca="false">D95+D98</f>
        <v>232591.613</v>
      </c>
      <c r="E94" s="95" t="n">
        <f aca="false">E95+E98</f>
        <v>220752.176</v>
      </c>
      <c r="F94" s="96" t="n">
        <f aca="false">F95+F98</f>
        <v>233561.997308357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95" t="n">
        <f aca="false">D96+D97</f>
        <v>143928.212</v>
      </c>
      <c r="E95" s="95" t="n">
        <f aca="false">E96+E97</f>
        <v>141284.264</v>
      </c>
      <c r="F95" s="96" t="n">
        <f aca="false">F96+F97</f>
        <v>120336.435936326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70137.873</v>
      </c>
      <c r="E96" s="95" t="n">
        <v>68458.03</v>
      </c>
      <c r="F96" s="96" t="n">
        <v>61758.4862823176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73790.339</v>
      </c>
      <c r="E97" s="95" t="n">
        <v>72826.234</v>
      </c>
      <c r="F97" s="96" t="n">
        <v>58577.9496540086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95" t="n">
        <f aca="false">D99+D100</f>
        <v>88663.401</v>
      </c>
      <c r="E98" s="95" t="n">
        <f aca="false">E99+E100</f>
        <v>79467.912</v>
      </c>
      <c r="F98" s="96" t="n">
        <f aca="false">F99+F100</f>
        <v>113225.561372031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53082.749</v>
      </c>
      <c r="E99" s="95" t="n">
        <v>43440.516</v>
      </c>
      <c r="F99" s="96" t="n">
        <v>58552.6727915885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35580.652</v>
      </c>
      <c r="E100" s="95" t="n">
        <v>36027.396</v>
      </c>
      <c r="F100" s="96" t="n">
        <v>54672.8885804428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51" t="n">
        <f aca="false">D102+D105+D108</f>
        <v>5968178.415</v>
      </c>
      <c r="E101" s="51" t="n">
        <f aca="false">E102+E105+E108</f>
        <v>5544995.677</v>
      </c>
      <c r="F101" s="37" t="n">
        <f aca="false">F102+F105+F108</f>
        <v>5125000</v>
      </c>
      <c r="G101" s="41"/>
      <c r="H101" s="42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51" t="n">
        <f aca="false">D103+D104</f>
        <v>3151206.324</v>
      </c>
      <c r="E102" s="51" t="n">
        <f aca="false">E103+E104</f>
        <v>2875353.4313141</v>
      </c>
      <c r="F102" s="37" t="n">
        <f aca="false">F103+F104</f>
        <v>2960985.79892845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7" t="n">
        <v>1669469.815</v>
      </c>
      <c r="E103" s="37" t="n">
        <v>1483579.87864354</v>
      </c>
      <c r="F103" s="37" t="n">
        <v>1552962.44183084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7" t="n">
        <v>1481736.509</v>
      </c>
      <c r="E104" s="37" t="n">
        <v>1391773.55267056</v>
      </c>
      <c r="F104" s="37" t="n">
        <v>1408023.35709761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7" t="n">
        <f aca="false">D106+D107</f>
        <v>1920777.852</v>
      </c>
      <c r="E105" s="51" t="n">
        <f aca="false">E106+E107</f>
        <v>1833097.43570129</v>
      </c>
      <c r="F105" s="37" t="n">
        <f aca="false">F106+F107</f>
        <v>1545122.44711016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7" t="n">
        <v>1005388.421</v>
      </c>
      <c r="E106" s="51" t="n">
        <v>936027.620207199</v>
      </c>
      <c r="F106" s="37" t="n">
        <v>799388.824912805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7" t="n">
        <v>915389.431</v>
      </c>
      <c r="E107" s="51" t="n">
        <v>897069.815494094</v>
      </c>
      <c r="F107" s="37" t="n">
        <v>745733.622197359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7" t="n">
        <f aca="false">D109+D110</f>
        <v>896194.239</v>
      </c>
      <c r="E108" s="51" t="n">
        <f aca="false">E109+E110</f>
        <v>836544.809984607</v>
      </c>
      <c r="F108" s="37" t="n">
        <f aca="false">F109+F110</f>
        <v>618891.753961389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7" t="n">
        <v>509471.87</v>
      </c>
      <c r="E109" s="51" t="n">
        <v>424604.066149264</v>
      </c>
      <c r="F109" s="37" t="n">
        <v>320068.733256355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7" t="n">
        <v>386722.369</v>
      </c>
      <c r="E110" s="51" t="n">
        <v>411940.743835343</v>
      </c>
      <c r="F110" s="37" t="n">
        <v>298823.020705034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51" t="n">
        <f aca="false">D112+D113</f>
        <v>1962607.065</v>
      </c>
      <c r="E111" s="51" t="n">
        <f aca="false">E112+E113</f>
        <v>1991580.833</v>
      </c>
      <c r="F111" s="37" t="n">
        <f aca="false">F112+F113</f>
        <v>1970000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7" t="n">
        <v>968950.538</v>
      </c>
      <c r="E112" s="51" t="n">
        <v>1006279.065</v>
      </c>
      <c r="F112" s="37" t="n">
        <v>968560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7" t="n">
        <v>993656.527</v>
      </c>
      <c r="E113" s="51" t="n">
        <v>985301.768</v>
      </c>
      <c r="F113" s="37" t="n">
        <v>1001440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1138.528</v>
      </c>
      <c r="E114" s="44" t="n">
        <f aca="false">E116+E117</f>
        <v>1166.407</v>
      </c>
      <c r="F114" s="43" t="n">
        <f aca="false">F116+F117</f>
        <v>1189.443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111"/>
      <c r="E115" s="112"/>
      <c r="F115" s="111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2.849+1106.07</f>
        <v>1108.919</v>
      </c>
      <c r="E116" s="48" t="n">
        <f aca="false">2.84+1133.583</f>
        <v>1136.423</v>
      </c>
      <c r="F116" s="48" t="n">
        <f aca="false">2.831+1156.255</f>
        <v>1159.086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113" t="n">
        <f aca="false">D118+D119+D120</f>
        <v>29.609</v>
      </c>
      <c r="E117" s="49" t="n">
        <f aca="false">E118+E119+E120</f>
        <v>29.984</v>
      </c>
      <c r="F117" s="113" t="n">
        <f aca="false">F118+F119+F120</f>
        <v>30.357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106" t="n">
        <v>29.093</v>
      </c>
      <c r="E118" s="43" t="n">
        <v>29.466</v>
      </c>
      <c r="F118" s="106" t="n">
        <v>29.839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106" t="n">
        <v>0.495</v>
      </c>
      <c r="E119" s="43" t="n">
        <v>0.498</v>
      </c>
      <c r="F119" s="106" t="n">
        <v>0.498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106" t="n">
        <v>0.021</v>
      </c>
      <c r="E120" s="43" t="n">
        <v>0.02</v>
      </c>
      <c r="F120" s="106" t="n">
        <v>0.02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0.048</v>
      </c>
      <c r="E121" s="48" t="n">
        <v>0.046</v>
      </c>
      <c r="F121" s="48" t="n">
        <v>0.046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37" t="n">
        <f aca="false">D124+D125+3629+24678</f>
        <v>1252538</v>
      </c>
      <c r="E122" s="51" t="n">
        <f aca="false">E124+E125+3578+24821</f>
        <v>1225979</v>
      </c>
      <c r="F122" s="37" t="n">
        <f aca="false">F124+F125+3578+25421</f>
        <v>1249703</v>
      </c>
      <c r="H122" s="27"/>
    </row>
    <row r="123" customFormat="false" ht="24.75" hidden="false" customHeight="true" outlineLevel="0" collapsed="false">
      <c r="A123" s="28"/>
      <c r="B123" s="22" t="s">
        <v>37</v>
      </c>
      <c r="C123" s="29"/>
      <c r="D123" s="98"/>
      <c r="E123" s="97"/>
      <c r="F123" s="98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51" t="n">
        <f aca="false">1138174+2480</f>
        <v>1140654</v>
      </c>
      <c r="E124" s="37" t="n">
        <f aca="false">1111357+2496</f>
        <v>1113853</v>
      </c>
      <c r="F124" s="37" t="n">
        <f aca="false">1133583+2516</f>
        <v>1136099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83577</v>
      </c>
      <c r="E125" s="37" t="n">
        <f aca="false">E126+E127+E128</f>
        <v>83727</v>
      </c>
      <c r="F125" s="37" t="n">
        <f aca="false">F126+F127+F128</f>
        <v>84605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51" t="n">
        <v>81666</v>
      </c>
      <c r="E126" s="37" t="n">
        <v>81804</v>
      </c>
      <c r="F126" s="37" t="n">
        <v>82754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51" t="n">
        <v>1721</v>
      </c>
      <c r="E127" s="37" t="n">
        <v>1729</v>
      </c>
      <c r="F127" s="37" t="n">
        <v>1705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51" t="n">
        <v>190</v>
      </c>
      <c r="E128" s="37" t="n">
        <v>194</v>
      </c>
      <c r="F128" s="37" t="n">
        <v>146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3195580.9</v>
      </c>
      <c r="E130" s="37" t="n">
        <v>3290934</v>
      </c>
      <c r="F130" s="37" t="n">
        <v>5447209.9917428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1297</v>
      </c>
      <c r="E132" s="37" t="n">
        <v>1295</v>
      </c>
      <c r="F132" s="59" t="n">
        <v>1214.5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62.414</v>
      </c>
      <c r="E133" s="59" t="n">
        <v>64.916</v>
      </c>
      <c r="F133" s="59" t="n">
        <v>68.848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368815.12</v>
      </c>
      <c r="E135" s="37" t="n">
        <v>347126.08</v>
      </c>
      <c r="F135" s="37" t="n">
        <v>749489.9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613844</v>
      </c>
      <c r="E136" s="37" t="n">
        <v>644591.14</v>
      </c>
      <c r="F136" s="37" t="n">
        <v>671505.138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307155.8</v>
      </c>
      <c r="E137" s="37" t="n">
        <v>345084.04</v>
      </c>
      <c r="F137" s="37" t="n">
        <v>390579.004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0.0961189247313376</v>
      </c>
      <c r="E139" s="60" t="n">
        <f aca="false">E137/E130*100%</f>
        <v>0.104858997476096</v>
      </c>
      <c r="F139" s="60" t="n">
        <f aca="false">F137/F130*100%</f>
        <v>0.071702578860015</v>
      </c>
    </row>
    <row r="140" customFormat="false" ht="176.25" hidden="false" customHeight="true" outlineLevel="0" collapsed="false">
      <c r="A140" s="61" t="s">
        <v>122</v>
      </c>
      <c r="B140" s="62" t="s">
        <v>123</v>
      </c>
      <c r="C140" s="63"/>
      <c r="D140" s="64" t="s">
        <v>125</v>
      </c>
      <c r="E140" s="64" t="s">
        <v>125</v>
      </c>
      <c r="F140" s="64" t="s">
        <v>125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68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163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71" t="s">
        <v>131</v>
      </c>
      <c r="E156" s="71" t="s">
        <v>132</v>
      </c>
      <c r="F156" s="18" t="s">
        <v>131</v>
      </c>
      <c r="G156" s="18" t="s">
        <v>132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75"/>
      <c r="E157" s="76"/>
      <c r="F157" s="76"/>
      <c r="G157" s="75"/>
      <c r="H157" s="77"/>
      <c r="I157" s="103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75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78" t="n">
        <v>414.02</v>
      </c>
      <c r="E159" s="79" t="n">
        <v>425.89</v>
      </c>
      <c r="F159" s="78" t="n">
        <v>425.89</v>
      </c>
      <c r="G159" s="78" t="n">
        <v>429.55</v>
      </c>
      <c r="H159" s="114" t="n">
        <v>429.55</v>
      </c>
      <c r="I159" s="79" t="n">
        <f aca="false">1162.5*1.2</f>
        <v>1395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205.05</v>
      </c>
      <c r="E160" s="57" t="n">
        <v>271.23</v>
      </c>
      <c r="F160" s="21" t="n">
        <v>143.53</v>
      </c>
      <c r="G160" s="21" t="n">
        <v>143.53</v>
      </c>
      <c r="H160" s="115" t="n">
        <v>262.25</v>
      </c>
      <c r="I160" s="79" t="n">
        <v>262.25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5"/>
      <c r="F161" s="75"/>
      <c r="G161" s="75"/>
      <c r="H161" s="75"/>
      <c r="I161" s="76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308.37</v>
      </c>
      <c r="E162" s="80" t="n">
        <v>308.37</v>
      </c>
      <c r="F162" s="80" t="n">
        <v>308.37</v>
      </c>
      <c r="G162" s="80" t="n">
        <v>427.27</v>
      </c>
      <c r="H162" s="116" t="n">
        <v>427.27</v>
      </c>
      <c r="I162" s="104" t="n">
        <v>507.147219763735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209.69</v>
      </c>
      <c r="E163" s="80" t="n">
        <v>211.83</v>
      </c>
      <c r="F163" s="80" t="n">
        <v>211.83</v>
      </c>
      <c r="G163" s="80" t="n">
        <v>310.99</v>
      </c>
      <c r="H163" s="116" t="n">
        <v>310.99</v>
      </c>
      <c r="I163" s="104" t="n">
        <v>434.344440961666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4" t="n">
        <v>145.49</v>
      </c>
      <c r="E164" s="85" t="n">
        <v>151.1</v>
      </c>
      <c r="F164" s="85" t="n">
        <v>151.1</v>
      </c>
      <c r="G164" s="85" t="n">
        <v>230.41</v>
      </c>
      <c r="H164" s="117" t="n">
        <v>230.41</v>
      </c>
      <c r="I164" s="85" t="n">
        <v>361.282232569007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68"/>
      <c r="E166" s="68"/>
      <c r="F166" s="68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6"/>
  <sheetViews>
    <sheetView showFormulas="false" showGridLines="true" showRowColHeaders="true" showZeros="true" rightToLeft="false" tabSelected="false" showOutlineSymbols="true" defaultGridColor="true" view="normal" topLeftCell="A115" colorId="64" zoomScale="100" zoomScaleNormal="100" zoomScalePageLayoutView="100" workbookViewId="0">
      <selection pane="topLeft" activeCell="D125" activeCellId="0" sqref="D125"/>
    </sheetView>
  </sheetViews>
  <sheetFormatPr defaultRowHeight="14.2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2" width="16.87"/>
    <col collapsed="false" customWidth="true" hidden="false" outlineLevel="0" max="5" min="5" style="2" width="18.85"/>
    <col collapsed="false" customWidth="true" hidden="false" outlineLevel="0" max="6" min="6" style="2" width="19"/>
    <col collapsed="false" customWidth="true" hidden="false" outlineLevel="0" max="9" min="7" style="1" width="15.29"/>
    <col collapsed="false" customWidth="true" hidden="false" outlineLevel="0" max="10" min="10" style="1" width="10.13"/>
    <col collapsed="false" customWidth="true" hidden="false" outlineLevel="0" max="11" min="11" style="1" width="9.13"/>
    <col collapsed="false" customWidth="true" hidden="false" outlineLevel="0" max="13" min="12" style="1" width="10.13"/>
    <col collapsed="false" customWidth="true" hidden="false" outlineLevel="0" max="1025" min="14" style="1" width="9.13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165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246601001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24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D47" s="109"/>
      <c r="E47" s="91"/>
      <c r="F47" s="91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166</v>
      </c>
      <c r="E48" s="19" t="s">
        <v>167</v>
      </c>
      <c r="F48" s="20" t="s">
        <v>168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24" t="n">
        <f aca="false">D51+D101+D111</f>
        <v>11335654.974</v>
      </c>
      <c r="E49" s="24" t="n">
        <f aca="false">E51+E101+E111</f>
        <v>11486408.7080893</v>
      </c>
      <c r="F49" s="25" t="n">
        <f aca="false">F51+F101+F111</f>
        <v>10924149.7701904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3529389.239</v>
      </c>
      <c r="E51" s="24" t="n">
        <f aca="false">E52+E55+E94</f>
        <v>3580310.46108931</v>
      </c>
      <c r="F51" s="33" t="n">
        <f aca="false">F52+F55+F94</f>
        <v>3706469.77019044</v>
      </c>
      <c r="G51" s="34"/>
      <c r="H51" s="35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2135619.89381</v>
      </c>
      <c r="E52" s="24" t="n">
        <f aca="false">E60+E67+E88</f>
        <v>2368919.94020772</v>
      </c>
      <c r="F52" s="33" t="n">
        <f aca="false">F60+F67+F88</f>
        <v>2459013.61325648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1087981.954</v>
      </c>
      <c r="E53" s="24" t="n">
        <f aca="false">E61+E68+E89</f>
        <v>1229387.951</v>
      </c>
      <c r="F53" s="33" t="n">
        <f aca="false">F61+F68+F89</f>
        <v>1286385.7555092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1047637.93981</v>
      </c>
      <c r="E54" s="24" t="n">
        <f aca="false">E62+E69+E90</f>
        <v>1139531.98920772</v>
      </c>
      <c r="F54" s="33" t="n">
        <f aca="false">F62+F69+F90</f>
        <v>1172627.85774728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D63+D70+D77+D84+D91+D98</f>
        <v>1393769.34519</v>
      </c>
      <c r="E55" s="24" t="n">
        <f aca="false">E63+E70+E91</f>
        <v>992020.116414837</v>
      </c>
      <c r="F55" s="33" t="n">
        <f aca="false">F63+F70+F91</f>
        <v>1022259.81216232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D64+D71+D78+D85+D92+D99</f>
        <v>730902.49</v>
      </c>
      <c r="E56" s="24" t="n">
        <f aca="false">E64+E71+E92</f>
        <v>513770.059</v>
      </c>
      <c r="F56" s="33" t="n">
        <f aca="false">F64+F71+F92</f>
        <v>529090.220168873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D65+D72+D79+D86+D93+D100</f>
        <v>662866.85519</v>
      </c>
      <c r="E57" s="24" t="n">
        <f aca="false">E65+E72+E93</f>
        <v>478250.057414837</v>
      </c>
      <c r="F57" s="33" t="n">
        <f aca="false">F65+F72+F93</f>
        <v>493169.591993447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364789.955</v>
      </c>
      <c r="E59" s="24" t="n">
        <f aca="false">E60+E63</f>
        <v>385087.826257483</v>
      </c>
      <c r="F59" s="33" t="n">
        <f aca="false">F60+F63</f>
        <v>400768.462626995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246784.29548</v>
      </c>
      <c r="E60" s="24" t="n">
        <f aca="false">E61+E62</f>
        <v>300870.844098134</v>
      </c>
      <c r="F60" s="33" t="n">
        <f aca="false">F61+F62</f>
        <v>312846.960983398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7" t="n">
        <v>126349.288</v>
      </c>
      <c r="E61" s="37" t="n">
        <v>156304.540824913</v>
      </c>
      <c r="F61" s="37" t="n">
        <v>164631.694020656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7" t="n">
        <v>120435.00748</v>
      </c>
      <c r="E62" s="37" t="n">
        <v>144566.303273221</v>
      </c>
      <c r="F62" s="37" t="n">
        <v>148215.266962742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7" t="n">
        <f aca="false">D64+D65</f>
        <v>118005.65952</v>
      </c>
      <c r="E63" s="51" t="n">
        <f aca="false">E64+E65</f>
        <v>84216.9821593493</v>
      </c>
      <c r="F63" s="37" t="n">
        <f aca="false">F64+F65</f>
        <v>87921.5016435966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7" t="n">
        <v>60166.238</v>
      </c>
      <c r="E64" s="51" t="n">
        <v>42257.9596685717</v>
      </c>
      <c r="F64" s="37" t="n">
        <v>43858.7403877965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7" t="n">
        <v>57839.42152</v>
      </c>
      <c r="E65" s="51" t="n">
        <v>41959.0224907776</v>
      </c>
      <c r="F65" s="37" t="n">
        <v>44062.7612558001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7" t="n">
        <f aca="false">D67+D70</f>
        <v>1827205.759</v>
      </c>
      <c r="E66" s="51" t="n">
        <f aca="false">E67+E70</f>
        <v>1899879.3917213</v>
      </c>
      <c r="F66" s="37" t="n">
        <f aca="false">F67+F70</f>
        <v>1967781.92904333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7" t="n">
        <f aca="false">D68+D69</f>
        <v>1198121.84657</v>
      </c>
      <c r="E67" s="51" t="n">
        <f aca="false">E68+E69</f>
        <v>1390066.39880665</v>
      </c>
      <c r="F67" s="37" t="n">
        <f aca="false">F68+F69</f>
        <v>1439802.54747197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7" t="n">
        <v>611540.829</v>
      </c>
      <c r="E68" s="51" t="n">
        <v>721145.459733555</v>
      </c>
      <c r="F68" s="37" t="n">
        <v>750063.63954589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7" t="n">
        <v>586581.01757</v>
      </c>
      <c r="E69" s="37" t="n">
        <v>668920.939073094</v>
      </c>
      <c r="F69" s="37" t="n">
        <v>689738.907926079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7" t="n">
        <f aca="false">D71+D72</f>
        <v>629083.91243</v>
      </c>
      <c r="E70" s="51" t="n">
        <f aca="false">E71+E72</f>
        <v>509812.99291465</v>
      </c>
      <c r="F70" s="37" t="n">
        <f aca="false">F71+F72</f>
        <v>527979.381571359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v>327326.962</v>
      </c>
      <c r="E71" s="51" t="n">
        <v>264280.715401157</v>
      </c>
      <c r="F71" s="37" t="n">
        <v>275023.753012305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v>301756.95043</v>
      </c>
      <c r="E72" s="51" t="n">
        <v>245532.277513493</v>
      </c>
      <c r="F72" s="37" t="n">
        <v>252955.628559055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7" t="n">
        <f aca="false">D74+D77</f>
        <v>0</v>
      </c>
      <c r="E73" s="51" t="n">
        <f aca="false">E74+E77</f>
        <v>0</v>
      </c>
      <c r="F73" s="37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7" t="n">
        <f aca="false">D75+D76</f>
        <v>0</v>
      </c>
      <c r="E74" s="51" t="n">
        <f aca="false">E75+E76</f>
        <v>0</v>
      </c>
      <c r="F74" s="37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7"/>
      <c r="E75" s="51"/>
      <c r="F75" s="37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7"/>
      <c r="E76" s="51"/>
      <c r="F76" s="37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7" t="n">
        <f aca="false">D78+D79</f>
        <v>0</v>
      </c>
      <c r="E77" s="51" t="n">
        <f aca="false">E78+E79</f>
        <v>0</v>
      </c>
      <c r="F77" s="37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7"/>
      <c r="E78" s="51"/>
      <c r="F78" s="37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7"/>
      <c r="E79" s="51"/>
      <c r="F79" s="37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7" t="n">
        <f aca="false">D81+D84</f>
        <v>0</v>
      </c>
      <c r="E80" s="51" t="n">
        <f aca="false">E81+E84</f>
        <v>0</v>
      </c>
      <c r="F80" s="37" t="n">
        <f aca="false">F81+F84</f>
        <v>0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7" t="n">
        <f aca="false">D82+D83</f>
        <v>0</v>
      </c>
      <c r="E81" s="51" t="n">
        <f aca="false">E82+E83</f>
        <v>0</v>
      </c>
      <c r="F81" s="37" t="n">
        <f aca="false">F82+F83</f>
        <v>0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7"/>
      <c r="E82" s="51"/>
      <c r="F82" s="37"/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7"/>
      <c r="E83" s="51"/>
      <c r="F83" s="37"/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7" t="n">
        <f aca="false">D85+D86</f>
        <v>0</v>
      </c>
      <c r="E84" s="51" t="n">
        <f aca="false">E85+E86</f>
        <v>0</v>
      </c>
      <c r="F84" s="37" t="n">
        <f aca="false">F85+F86</f>
        <v>0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7"/>
      <c r="E85" s="51"/>
      <c r="F85" s="37"/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7"/>
      <c r="E86" s="51"/>
      <c r="F86" s="37"/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7" t="n">
        <f aca="false">D88+D91</f>
        <v>1122481.133</v>
      </c>
      <c r="E87" s="51" t="n">
        <f aca="false">E88+E91</f>
        <v>1075972.83864378</v>
      </c>
      <c r="F87" s="37" t="n">
        <f aca="false">F88+F91</f>
        <v>1112723.03374848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7" t="n">
        <f aca="false">D89+D90</f>
        <v>550469.73876</v>
      </c>
      <c r="E88" s="51" t="n">
        <f aca="false">E89+E90</f>
        <v>677982.697302937</v>
      </c>
      <c r="F88" s="37" t="n">
        <f aca="false">F89+F90</f>
        <v>706364.104801114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7" t="n">
        <v>281226.123</v>
      </c>
      <c r="E89" s="51" t="n">
        <v>351937.950441532</v>
      </c>
      <c r="F89" s="37" t="n">
        <v>371690.421942655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7" t="n">
        <v>269243.61576</v>
      </c>
      <c r="E90" s="51" t="n">
        <v>326044.746861405</v>
      </c>
      <c r="F90" s="37" t="n">
        <v>334673.68285846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51" t="n">
        <f aca="false">D92+D93</f>
        <v>572011.39424</v>
      </c>
      <c r="E91" s="51" t="n">
        <f aca="false">E92+E93</f>
        <v>397990.141340838</v>
      </c>
      <c r="F91" s="37" t="n">
        <f aca="false">F92+F93</f>
        <v>406358.928947364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7" t="n">
        <v>304647.504</v>
      </c>
      <c r="E92" s="51" t="n">
        <v>207231.383930271</v>
      </c>
      <c r="F92" s="37" t="n">
        <v>210207.726768772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7" t="n">
        <v>267363.89024</v>
      </c>
      <c r="E93" s="51" t="n">
        <v>190758.757410567</v>
      </c>
      <c r="F93" s="37" t="n">
        <v>196151.202178592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95" t="n">
        <f aca="false">D95+D98</f>
        <v>214912.392</v>
      </c>
      <c r="E94" s="95" t="n">
        <f aca="false">E95+E98</f>
        <v>219370.404466756</v>
      </c>
      <c r="F94" s="96" t="n">
        <f aca="false">F95+F98</f>
        <v>225196.344771638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95" t="n">
        <f aca="false">D96+D97</f>
        <v>140244.013</v>
      </c>
      <c r="E95" s="95" t="n">
        <f aca="false">E96+E97</f>
        <v>142599.620881593</v>
      </c>
      <c r="F95" s="96" t="n">
        <f aca="false">F96+F97</f>
        <v>141215.796623487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68865.714</v>
      </c>
      <c r="E96" s="95" t="n">
        <v>70242.849</v>
      </c>
      <c r="F96" s="96" t="n">
        <v>67205.310490799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71378.299</v>
      </c>
      <c r="E97" s="95" t="n">
        <v>72356.7718815929</v>
      </c>
      <c r="F97" s="96" t="n">
        <v>74010.4861326882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95" t="n">
        <f aca="false">D99+D100</f>
        <v>74668.379</v>
      </c>
      <c r="E98" s="95" t="n">
        <f aca="false">E99+E100</f>
        <v>76770.7835851629</v>
      </c>
      <c r="F98" s="96" t="n">
        <f aca="false">F99+F100</f>
        <v>83980.5481481513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38761.786</v>
      </c>
      <c r="E99" s="95" t="n">
        <v>39376.741</v>
      </c>
      <c r="F99" s="96" t="n">
        <v>46828.7138311271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35906.593</v>
      </c>
      <c r="E100" s="95" t="n">
        <v>37394.0425851629</v>
      </c>
      <c r="F100" s="96" t="n">
        <v>37151.8343170242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51" t="n">
        <f aca="false">D102+D105+D108+731.137+618.707</f>
        <v>5911001.802</v>
      </c>
      <c r="E101" s="51" t="n">
        <f aca="false">E102+E105+E108</f>
        <v>5870191.772</v>
      </c>
      <c r="F101" s="37" t="n">
        <f aca="false">F102+F105+F108</f>
        <v>5325550</v>
      </c>
      <c r="G101" s="41"/>
      <c r="H101" s="42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51" t="n">
        <f aca="false">D103+D104</f>
        <v>2996590.584</v>
      </c>
      <c r="E102" s="51" t="n">
        <f aca="false">E103+E104</f>
        <v>2907526.80008524</v>
      </c>
      <c r="F102" s="37" t="n">
        <f aca="false">F103+F104</f>
        <v>2884219.80184847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7" t="n">
        <v>1525547.568</v>
      </c>
      <c r="E103" s="51" t="n">
        <v>1515862.6213587</v>
      </c>
      <c r="F103" s="37" t="n">
        <v>1503983.97656507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7" t="n">
        <v>1471043.016</v>
      </c>
      <c r="E104" s="51" t="n">
        <v>1391664.17872654</v>
      </c>
      <c r="F104" s="37" t="n">
        <v>1380235.8252834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7" t="n">
        <f aca="false">D106+D107</f>
        <v>1945567.372</v>
      </c>
      <c r="E105" s="51" t="n">
        <f aca="false">E106+E107</f>
        <v>1996363.28940996</v>
      </c>
      <c r="F105" s="37" t="n">
        <f aca="false">F106+F107</f>
        <v>1734901.24125994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7" t="n">
        <v>984592.901</v>
      </c>
      <c r="E106" s="51" t="n">
        <v>1055580.62070538</v>
      </c>
      <c r="F106" s="37" t="n">
        <v>895965.515618014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7" t="n">
        <v>960974.471</v>
      </c>
      <c r="E107" s="51" t="n">
        <v>940782.668704586</v>
      </c>
      <c r="F107" s="37" t="n">
        <v>838935.725641931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7" t="n">
        <f aca="false">D109+D110</f>
        <v>967494.002</v>
      </c>
      <c r="E108" s="51" t="n">
        <f aca="false">E109+E110</f>
        <v>966301.6825048</v>
      </c>
      <c r="F108" s="37" t="n">
        <f aca="false">F109+F110</f>
        <v>706428.956891584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7" t="n">
        <v>466504.756</v>
      </c>
      <c r="E109" s="51" t="n">
        <v>517591.39979966</v>
      </c>
      <c r="F109" s="37" t="n">
        <v>368270.507816919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7" t="n">
        <v>500989.246</v>
      </c>
      <c r="E110" s="51" t="n">
        <v>448710.28270514</v>
      </c>
      <c r="F110" s="37" t="n">
        <v>338158.449074664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51" t="n">
        <f aca="false">D112+D113</f>
        <v>1895263.933</v>
      </c>
      <c r="E111" s="51" t="n">
        <f aca="false">E112+E113</f>
        <v>2035906.475</v>
      </c>
      <c r="F111" s="37" t="n">
        <f aca="false">F112+F113</f>
        <v>1892130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7" t="n">
        <v>910773.32</v>
      </c>
      <c r="E112" s="51" t="n">
        <v>1047043.25513626</v>
      </c>
      <c r="F112" s="37" t="n">
        <v>935840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7" t="n">
        <v>984490.613</v>
      </c>
      <c r="E113" s="51" t="n">
        <v>988863.219863738</v>
      </c>
      <c r="F113" s="37" t="n">
        <v>956290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1092.014</v>
      </c>
      <c r="E114" s="44" t="n">
        <f aca="false">E116+E117</f>
        <v>1124.133</v>
      </c>
      <c r="F114" s="43" t="n">
        <f aca="false">F116+F117</f>
        <v>1157.325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7" t="n">
        <f aca="false">2.758+1060.1</f>
        <v>1062.858</v>
      </c>
      <c r="E116" s="48" t="n">
        <f aca="false">2.8+1091.903</f>
        <v>1094.703</v>
      </c>
      <c r="F116" s="48" t="n">
        <f aca="false">2.839+1124.66</f>
        <v>1127.499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29.156</v>
      </c>
      <c r="E117" s="49" t="n">
        <f aca="false">E118+E119+E120</f>
        <v>29.43</v>
      </c>
      <c r="F117" s="49" t="n">
        <f aca="false">F118+F119+F120</f>
        <v>29.826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44" t="n">
        <v>28.673</v>
      </c>
      <c r="E118" s="43" t="n">
        <v>28.936</v>
      </c>
      <c r="F118" s="43" t="n">
        <v>29.323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44" t="n">
        <v>0.461</v>
      </c>
      <c r="E119" s="43" t="n">
        <v>0.475</v>
      </c>
      <c r="F119" s="43" t="n">
        <v>0.485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44" t="n">
        <v>0.022</v>
      </c>
      <c r="E120" s="43" t="n">
        <v>0.019</v>
      </c>
      <c r="F120" s="43" t="n">
        <v>0.018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7" t="n">
        <v>0.05</v>
      </c>
      <c r="E121" s="48" t="n">
        <v>0.048</v>
      </c>
      <c r="F121" s="48" t="n">
        <v>0.048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37" t="n">
        <f aca="false">D124+D125</f>
        <v>1210908</v>
      </c>
      <c r="E122" s="51" t="n">
        <f aca="false">E124+E125</f>
        <v>1282133</v>
      </c>
      <c r="F122" s="51" t="n">
        <f aca="false">F124+F125</f>
        <v>1226948</v>
      </c>
      <c r="H122" s="27"/>
    </row>
    <row r="123" customFormat="false" ht="24.75" hidden="false" customHeight="true" outlineLevel="0" collapsed="false">
      <c r="A123" s="28"/>
      <c r="B123" s="22" t="s">
        <v>37</v>
      </c>
      <c r="C123" s="29"/>
      <c r="D123" s="37"/>
      <c r="E123" s="51"/>
      <c r="F123" s="37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51" t="n">
        <f aca="false">1101909+2655+22854</f>
        <v>1127418</v>
      </c>
      <c r="E124" s="37" t="n">
        <v>1199339</v>
      </c>
      <c r="F124" s="37" t="n">
        <v>1142197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83490</v>
      </c>
      <c r="E125" s="37" t="n">
        <f aca="false">E126+E127+E128</f>
        <v>82794</v>
      </c>
      <c r="F125" s="37" t="n">
        <f aca="false">F126+F127+F128</f>
        <v>84751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51" t="n">
        <v>81383</v>
      </c>
      <c r="E126" s="37" t="n">
        <v>80636</v>
      </c>
      <c r="F126" s="37" t="n">
        <v>82660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51" t="n">
        <v>1704</v>
      </c>
      <c r="E127" s="37" t="n">
        <v>1762</v>
      </c>
      <c r="F127" s="37" t="n">
        <v>1717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51" t="n">
        <v>403</v>
      </c>
      <c r="E128" s="37" t="n">
        <v>396</v>
      </c>
      <c r="F128" s="37" t="n">
        <v>374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37" t="n">
        <v>3148355.56</v>
      </c>
      <c r="E130" s="37" t="n">
        <v>3195580.9</v>
      </c>
      <c r="F130" s="37" t="n">
        <v>4506706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6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37" t="n">
        <v>1271</v>
      </c>
      <c r="E132" s="37" t="n">
        <v>1297</v>
      </c>
      <c r="F132" s="37" t="n">
        <v>1295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58.229</v>
      </c>
      <c r="E133" s="59" t="n">
        <v>62.414</v>
      </c>
      <c r="F133" s="59" t="n">
        <v>64.916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51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368815.12</v>
      </c>
      <c r="E135" s="37" t="n">
        <v>306963.96</v>
      </c>
      <c r="F135" s="37" t="n">
        <v>302176.97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613844</v>
      </c>
      <c r="E136" s="37" t="n">
        <v>622267.28</v>
      </c>
      <c r="F136" s="37" t="n">
        <v>626420.148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307155.8</v>
      </c>
      <c r="E137" s="37" t="n">
        <v>294229.26</v>
      </c>
      <c r="F137" s="37" t="n">
        <v>352957.324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0.0975607088038049</v>
      </c>
      <c r="E139" s="60" t="n">
        <f aca="false">E137/E130*100%</f>
        <v>0.0920737947832896</v>
      </c>
      <c r="F139" s="60" t="n">
        <f aca="false">F137/F130*100%</f>
        <v>0.0783182492933863</v>
      </c>
    </row>
    <row r="140" customFormat="false" ht="176.25" hidden="false" customHeight="true" outlineLevel="0" collapsed="false">
      <c r="A140" s="61" t="s">
        <v>122</v>
      </c>
      <c r="B140" s="62" t="s">
        <v>123</v>
      </c>
      <c r="C140" s="63"/>
      <c r="D140" s="64" t="s">
        <v>124</v>
      </c>
      <c r="E140" s="64" t="s">
        <v>125</v>
      </c>
      <c r="F140" s="64" t="s">
        <v>125</v>
      </c>
      <c r="G140" s="65"/>
      <c r="H140" s="66"/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68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167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71" t="s">
        <v>131</v>
      </c>
      <c r="E156" s="71" t="s">
        <v>132</v>
      </c>
      <c r="F156" s="18" t="s">
        <v>131</v>
      </c>
      <c r="G156" s="18" t="s">
        <v>132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75"/>
      <c r="E157" s="76"/>
      <c r="F157" s="76"/>
      <c r="G157" s="75"/>
      <c r="H157" s="77"/>
      <c r="I157" s="74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75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134</v>
      </c>
      <c r="C159" s="73" t="s">
        <v>135</v>
      </c>
      <c r="D159" s="78" t="n">
        <v>396.78</v>
      </c>
      <c r="E159" s="78" t="n">
        <v>414.02</v>
      </c>
      <c r="F159" s="78" t="n">
        <v>414.02</v>
      </c>
      <c r="G159" s="78" t="n">
        <v>425.89</v>
      </c>
      <c r="H159" s="78" t="n">
        <f aca="false">354.91*1.2</f>
        <v>425.892</v>
      </c>
      <c r="I159" s="79" t="n">
        <f aca="false">694.82*1.2</f>
        <v>833.784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205.05</v>
      </c>
      <c r="E160" s="21" t="n">
        <v>205.05</v>
      </c>
      <c r="F160" s="21" t="n">
        <v>205.05</v>
      </c>
      <c r="G160" s="21" t="n">
        <v>271.23</v>
      </c>
      <c r="H160" s="21" t="n">
        <v>271.23</v>
      </c>
      <c r="I160" s="79" t="n">
        <v>426.48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5"/>
      <c r="F161" s="75"/>
      <c r="G161" s="75"/>
      <c r="H161" s="75"/>
      <c r="I161" s="74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321.8</v>
      </c>
      <c r="E162" s="80" t="n">
        <v>334.16</v>
      </c>
      <c r="F162" s="80" t="n">
        <v>308.37</v>
      </c>
      <c r="G162" s="80" t="n">
        <v>308.37</v>
      </c>
      <c r="H162" s="80" t="n">
        <v>308.37</v>
      </c>
      <c r="I162" s="80" t="n">
        <v>541.06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217.61</v>
      </c>
      <c r="E163" s="80" t="n">
        <v>221.32</v>
      </c>
      <c r="F163" s="80" t="n">
        <v>209.69</v>
      </c>
      <c r="G163" s="80" t="n">
        <v>211.83</v>
      </c>
      <c r="H163" s="80" t="n">
        <v>211.83</v>
      </c>
      <c r="I163" s="80" t="n">
        <v>417.62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4" t="n">
        <v>167.49</v>
      </c>
      <c r="E164" s="85" t="n">
        <v>152.3</v>
      </c>
      <c r="F164" s="84" t="n">
        <v>145.49</v>
      </c>
      <c r="G164" s="85" t="n">
        <v>151.1</v>
      </c>
      <c r="H164" s="85" t="n">
        <v>151.1</v>
      </c>
      <c r="I164" s="85" t="n">
        <v>352.48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68"/>
      <c r="E166" s="68"/>
      <c r="F166" s="68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6"/>
  <sheetViews>
    <sheetView showFormulas="false" showGridLines="true" showRowColHeaders="true" showZeros="true" rightToLeft="false" tabSelected="false" showOutlineSymbols="true" defaultGridColor="true" view="normal" topLeftCell="A148" colorId="64" zoomScale="100" zoomScaleNormal="100" zoomScalePageLayoutView="100" workbookViewId="0">
      <selection pane="topLeft" activeCell="B151" activeCellId="0" sqref="B151"/>
    </sheetView>
  </sheetViews>
  <sheetFormatPr defaultRowHeight="14.2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43.29"/>
    <col collapsed="false" customWidth="true" hidden="false" outlineLevel="0" max="3" min="3" style="1" width="14.86"/>
    <col collapsed="false" customWidth="true" hidden="false" outlineLevel="0" max="4" min="4" style="2" width="16.87"/>
    <col collapsed="false" customWidth="true" hidden="false" outlineLevel="0" max="5" min="5" style="2" width="18.85"/>
    <col collapsed="false" customWidth="true" hidden="false" outlineLevel="0" max="6" min="6" style="2" width="19"/>
    <col collapsed="false" customWidth="true" hidden="false" outlineLevel="0" max="9" min="7" style="1" width="15.29"/>
    <col collapsed="false" customWidth="true" hidden="false" outlineLevel="0" max="10" min="10" style="1" width="10.13"/>
    <col collapsed="false" customWidth="true" hidden="false" outlineLevel="0" max="11" min="11" style="1" width="9.13"/>
    <col collapsed="false" customWidth="true" hidden="false" outlineLevel="0" max="13" min="12" style="1" width="10.13"/>
    <col collapsed="false" customWidth="true" hidden="false" outlineLevel="0" max="1025" min="14" style="1" width="9.13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169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246750001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170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31</v>
      </c>
      <c r="E48" s="19" t="s">
        <v>171</v>
      </c>
      <c r="F48" s="18" t="s">
        <v>172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24" t="n">
        <f aca="false">D51+D101+D111</f>
        <v>12611078.656</v>
      </c>
      <c r="E49" s="24" t="n">
        <f aca="false">E51+E101+E111</f>
        <v>11355976.313</v>
      </c>
      <c r="F49" s="25" t="n">
        <f aca="false">F51+F101+F111</f>
        <v>11325176.154</v>
      </c>
      <c r="G49" s="26"/>
      <c r="I49" s="27"/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3529865.93</v>
      </c>
      <c r="E51" s="24" t="n">
        <f aca="false">E52+E55+E94</f>
        <v>3516162.953</v>
      </c>
      <c r="F51" s="33" t="n">
        <f aca="false">F52+F55+F94</f>
        <v>3700000</v>
      </c>
      <c r="G51" s="34"/>
      <c r="I51" s="36"/>
      <c r="J51" s="36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2110286.712</v>
      </c>
      <c r="E52" s="24" t="n">
        <f aca="false">E60+E67+E88</f>
        <v>2333124.962</v>
      </c>
      <c r="F52" s="33" t="n">
        <f aca="false">F60+F67+F88</f>
        <v>2456658.622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1041000.984</v>
      </c>
      <c r="E53" s="24" t="n">
        <f aca="false">E61+E68+E89</f>
        <v>1197397.651</v>
      </c>
      <c r="F53" s="33" t="n">
        <f aca="false">F61+F68+F89</f>
        <v>1275807.033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1069285.728</v>
      </c>
      <c r="E54" s="24" t="n">
        <f aca="false">E62+E69+E90</f>
        <v>1135727.311</v>
      </c>
      <c r="F54" s="33" t="n">
        <f aca="false">F62+F69+F90</f>
        <v>1180851.589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D63+D70+D77+D84+D91+D98</f>
        <v>1419579.218</v>
      </c>
      <c r="E55" s="24" t="n">
        <f aca="false">E63+E70+E91</f>
        <v>971190.773</v>
      </c>
      <c r="F55" s="33" t="n">
        <f aca="false">F63+F70+F91</f>
        <v>1016176.183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D64+D71+D78+D85+D92+D99</f>
        <v>795392.638</v>
      </c>
      <c r="E56" s="24" t="n">
        <f aca="false">E64+E71+E92</f>
        <v>496082.895</v>
      </c>
      <c r="F56" s="33" t="n">
        <f aca="false">F64+F71+F92</f>
        <v>527786.919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D65+D72+D79+D86+D93+D100</f>
        <v>624186.58</v>
      </c>
      <c r="E57" s="24" t="n">
        <f aca="false">E65+E72+E93</f>
        <v>475107.878</v>
      </c>
      <c r="F57" s="33" t="n">
        <f aca="false">F65+F72+F93</f>
        <v>488389.264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385992.496</v>
      </c>
      <c r="E59" s="24" t="n">
        <f aca="false">E60+E63</f>
        <v>406739.789490466</v>
      </c>
      <c r="F59" s="33" t="n">
        <f aca="false">F60+F63</f>
        <v>430676.684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260441.082</v>
      </c>
      <c r="E60" s="24" t="n">
        <f aca="false">E61+E62</f>
        <v>319298.48630888</v>
      </c>
      <c r="F60" s="33" t="n">
        <f aca="false">F61+F62</f>
        <v>330765.799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3" t="n">
        <v>128719.656</v>
      </c>
      <c r="E61" s="24" t="n">
        <v>164102.548284019</v>
      </c>
      <c r="F61" s="33" t="n">
        <v>173528.542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3" t="n">
        <v>131721.426</v>
      </c>
      <c r="E62" s="24" t="n">
        <v>155195.93802486</v>
      </c>
      <c r="F62" s="33" t="n">
        <v>157237.257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3" t="n">
        <f aca="false">D64+D65</f>
        <v>125551.414</v>
      </c>
      <c r="E63" s="24" t="n">
        <f aca="false">E64+E65</f>
        <v>87441.3031815857</v>
      </c>
      <c r="F63" s="33" t="n">
        <f aca="false">F64+F65</f>
        <v>99910.885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3" t="n">
        <v>71589.803</v>
      </c>
      <c r="E64" s="24" t="n">
        <v>43456.3116735414</v>
      </c>
      <c r="F64" s="33" t="n">
        <v>50816.611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3" t="n">
        <v>53961.611</v>
      </c>
      <c r="E65" s="24" t="n">
        <v>43984.9915080444</v>
      </c>
      <c r="F65" s="33" t="n">
        <v>49094.274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3" t="n">
        <f aca="false">D67+D70</f>
        <v>1809983.741</v>
      </c>
      <c r="E66" s="24" t="n">
        <f aca="false">E67+E70</f>
        <v>1868006.93565643</v>
      </c>
      <c r="F66" s="33" t="n">
        <f aca="false">F67+F70</f>
        <v>1935939.526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3" t="n">
        <f aca="false">D68+D69</f>
        <v>1162976.398</v>
      </c>
      <c r="E67" s="24" t="n">
        <f aca="false">E68+E69</f>
        <v>1312440.41774144</v>
      </c>
      <c r="F67" s="33" t="n">
        <f aca="false">F68+F69</f>
        <v>1416408.245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3" t="n">
        <f aca="false">564446.97+1374.45</f>
        <v>565821.42</v>
      </c>
      <c r="E68" s="24" t="n">
        <v>671538.057794145</v>
      </c>
      <c r="F68" s="33" t="n">
        <v>730041.386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3" t="n">
        <f aca="false">596040.983+1113.995</f>
        <v>597154.978</v>
      </c>
      <c r="E69" s="33" t="n">
        <v>640902.3599473</v>
      </c>
      <c r="F69" s="33" t="n">
        <v>686366.859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3" t="n">
        <f aca="false">D71+D72</f>
        <v>647007.343</v>
      </c>
      <c r="E70" s="24" t="n">
        <f aca="false">E71+E72</f>
        <v>555566.51791499</v>
      </c>
      <c r="F70" s="33" t="n">
        <f aca="false">F71+F72</f>
        <v>519531.281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f aca="false">367637.322+605.791</f>
        <v>368243.113</v>
      </c>
      <c r="E71" s="24" t="n">
        <v>282489.360760251</v>
      </c>
      <c r="F71" s="33" t="n">
        <v>269484.955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f aca="false">278416.313+347.917</f>
        <v>278764.23</v>
      </c>
      <c r="E72" s="24" t="n">
        <v>273077.157154739</v>
      </c>
      <c r="F72" s="33" t="n">
        <v>250046.326</v>
      </c>
      <c r="G72" s="38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3" t="n">
        <f aca="false">D74+D77</f>
        <v>0</v>
      </c>
      <c r="E73" s="24" t="n">
        <f aca="false">E74+E77</f>
        <v>0</v>
      </c>
      <c r="F73" s="33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3" t="n">
        <f aca="false">D75+D76</f>
        <v>0</v>
      </c>
      <c r="E74" s="24" t="n">
        <f aca="false">E75+E76</f>
        <v>0</v>
      </c>
      <c r="F74" s="33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3"/>
      <c r="E75" s="24"/>
      <c r="F75" s="33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3"/>
      <c r="E76" s="24"/>
      <c r="F76" s="33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3" t="n">
        <f aca="false">D78+D79</f>
        <v>0</v>
      </c>
      <c r="E77" s="24" t="n">
        <f aca="false">E78+E79</f>
        <v>0</v>
      </c>
      <c r="F77" s="33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3"/>
      <c r="E78" s="24"/>
      <c r="F78" s="33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3"/>
      <c r="E79" s="24"/>
      <c r="F79" s="33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3" t="n">
        <f aca="false">D81+D84</f>
        <v>0</v>
      </c>
      <c r="E80" s="24" t="n">
        <f aca="false">E81+E84</f>
        <v>0</v>
      </c>
      <c r="F80" s="33" t="n">
        <f aca="false">F81+F84</f>
        <v>0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3" t="n">
        <f aca="false">D82+D83</f>
        <v>0</v>
      </c>
      <c r="E81" s="24" t="n">
        <f aca="false">E82+E83</f>
        <v>0</v>
      </c>
      <c r="F81" s="33" t="n">
        <f aca="false">F82+F83</f>
        <v>0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3"/>
      <c r="E82" s="24"/>
      <c r="F82" s="33"/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3"/>
      <c r="E83" s="24"/>
      <c r="F83" s="33"/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3" t="n">
        <f aca="false">D85+D86</f>
        <v>0</v>
      </c>
      <c r="E84" s="24" t="n">
        <f aca="false">E85+E86</f>
        <v>0</v>
      </c>
      <c r="F84" s="33" t="n">
        <f aca="false">F85+F86</f>
        <v>0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3"/>
      <c r="E85" s="24"/>
      <c r="F85" s="33"/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3"/>
      <c r="E86" s="24"/>
      <c r="F86" s="33"/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3" t="n">
        <f aca="false">D88+D91</f>
        <v>1111784.826</v>
      </c>
      <c r="E87" s="24" t="n">
        <f aca="false">E88+E91</f>
        <v>1029569.0098531</v>
      </c>
      <c r="F87" s="33" t="n">
        <f aca="false">F88+F91</f>
        <v>1106218.595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3" t="n">
        <f aca="false">D89+D90</f>
        <v>553173.158</v>
      </c>
      <c r="E88" s="24" t="n">
        <f aca="false">E89+E90</f>
        <v>701386.057949675</v>
      </c>
      <c r="F88" s="33" t="n">
        <f aca="false">F89+F90</f>
        <v>709484.578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3" t="n">
        <v>281663.688</v>
      </c>
      <c r="E89" s="24" t="n">
        <v>361757.044921835</v>
      </c>
      <c r="F89" s="33" t="n">
        <v>372237.105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3" t="n">
        <v>271509.47</v>
      </c>
      <c r="E90" s="24" t="n">
        <v>339629.01302784</v>
      </c>
      <c r="F90" s="33" t="n">
        <v>337247.473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24" t="n">
        <f aca="false">D92+D93</f>
        <v>558611.668</v>
      </c>
      <c r="E91" s="24" t="n">
        <f aca="false">E92+E93</f>
        <v>328182.951903425</v>
      </c>
      <c r="F91" s="33" t="n">
        <f aca="false">F92+F93</f>
        <v>396734.017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3" t="n">
        <v>310928.81</v>
      </c>
      <c r="E92" s="24" t="n">
        <v>170137.222566208</v>
      </c>
      <c r="F92" s="33" t="n">
        <v>207485.353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3" t="n">
        <v>247682.858</v>
      </c>
      <c r="E93" s="24" t="n">
        <v>158045.729337217</v>
      </c>
      <c r="F93" s="33" t="n">
        <v>189248.664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39" t="n">
        <f aca="false">D95+D98</f>
        <v>222104.867</v>
      </c>
      <c r="E94" s="39" t="n">
        <f aca="false">E95+E98</f>
        <v>211847.218</v>
      </c>
      <c r="F94" s="40" t="n">
        <f aca="false">F95+F98</f>
        <v>227165.195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39" t="n">
        <f aca="false">D96+D97</f>
        <v>133696.074</v>
      </c>
      <c r="E95" s="39" t="n">
        <f aca="false">E96+E97</f>
        <v>133528.991</v>
      </c>
      <c r="F95" s="40" t="n">
        <f aca="false">F96+F97</f>
        <v>138768.095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64796.22</v>
      </c>
      <c r="E96" s="39" t="n">
        <v>64277.267</v>
      </c>
      <c r="F96" s="40" t="n">
        <v>67230.245</v>
      </c>
      <c r="G96" s="38"/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68899.854</v>
      </c>
      <c r="E97" s="39" t="n">
        <v>69251.724</v>
      </c>
      <c r="F97" s="40" t="n">
        <v>71537.85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39" t="n">
        <f aca="false">D99+D100</f>
        <v>88408.793</v>
      </c>
      <c r="E98" s="39" t="n">
        <f aca="false">E99+E100</f>
        <v>78318.227</v>
      </c>
      <c r="F98" s="57" t="n">
        <f aca="false">F99+F100</f>
        <v>88397.1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44630.912</v>
      </c>
      <c r="E99" s="39" t="n">
        <v>40766.905</v>
      </c>
      <c r="F99" s="40" t="n">
        <v>43875.8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43777.881</v>
      </c>
      <c r="E100" s="39" t="n">
        <v>37551.322</v>
      </c>
      <c r="F100" s="40" t="n">
        <v>44521.3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24" t="n">
        <f aca="false">D102+D105+D108+1963.691+304.301</f>
        <v>6741270.201</v>
      </c>
      <c r="E101" s="24" t="n">
        <f aca="false">E102+E105+E108</f>
        <v>5766897.083</v>
      </c>
      <c r="F101" s="33" t="n">
        <f aca="false">F102+F105+F108</f>
        <v>5552259.877</v>
      </c>
      <c r="G101" s="41"/>
    </row>
    <row r="102" customFormat="false" ht="24.75" hidden="false" customHeight="true" outlineLevel="0" collapsed="false">
      <c r="A102" s="28"/>
      <c r="B102" s="22" t="s">
        <v>72</v>
      </c>
      <c r="C102" s="23" t="s">
        <v>36</v>
      </c>
      <c r="D102" s="24" t="n">
        <f aca="false">D103+D104</f>
        <v>3305184.415</v>
      </c>
      <c r="E102" s="24" t="n">
        <f aca="false">E103+E104</f>
        <v>2902120.83915855</v>
      </c>
      <c r="F102" s="33" t="n">
        <f aca="false">F103+F104</f>
        <v>2786275.29236885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3" t="n">
        <v>1733646.034</v>
      </c>
      <c r="E103" s="24" t="n">
        <v>1490853.5524271</v>
      </c>
      <c r="F103" s="33" t="n">
        <v>1457189.51168065</v>
      </c>
    </row>
    <row r="104" customFormat="false" ht="21.75" hidden="false" customHeight="true" outlineLevel="0" collapsed="false">
      <c r="A104" s="28"/>
      <c r="B104" s="22" t="s">
        <v>43</v>
      </c>
      <c r="C104" s="23" t="s">
        <v>36</v>
      </c>
      <c r="D104" s="33" t="n">
        <v>1571538.381</v>
      </c>
      <c r="E104" s="24" t="n">
        <v>1411267.28673145</v>
      </c>
      <c r="F104" s="33" t="n">
        <v>1329085.78068821</v>
      </c>
    </row>
    <row r="105" customFormat="false" ht="23.25" hidden="false" customHeight="true" outlineLevel="0" collapsed="false">
      <c r="A105" s="28"/>
      <c r="B105" s="22" t="s">
        <v>73</v>
      </c>
      <c r="C105" s="23" t="s">
        <v>36</v>
      </c>
      <c r="D105" s="33" t="n">
        <f aca="false">D106+D107</f>
        <v>2321559.552</v>
      </c>
      <c r="E105" s="24" t="n">
        <f aca="false">E106+E107</f>
        <v>1991469.89736535</v>
      </c>
      <c r="F105" s="33" t="n">
        <f aca="false">F106+F107</f>
        <v>1929922.471607</v>
      </c>
    </row>
    <row r="106" customFormat="false" ht="24.75" hidden="false" customHeight="true" outlineLevel="0" collapsed="false">
      <c r="A106" s="28"/>
      <c r="B106" s="22" t="s">
        <v>42</v>
      </c>
      <c r="C106" s="23" t="s">
        <v>36</v>
      </c>
      <c r="D106" s="33" t="n">
        <v>1231134</v>
      </c>
      <c r="E106" s="24" t="n">
        <v>1027260.61435696</v>
      </c>
      <c r="F106" s="33" t="n">
        <v>986051.97647053</v>
      </c>
    </row>
    <row r="107" customFormat="false" ht="22.5" hidden="false" customHeight="true" outlineLevel="0" collapsed="false">
      <c r="A107" s="28"/>
      <c r="B107" s="22" t="s">
        <v>43</v>
      </c>
      <c r="C107" s="23" t="s">
        <v>36</v>
      </c>
      <c r="D107" s="33" t="n">
        <v>1090425.552</v>
      </c>
      <c r="E107" s="24" t="n">
        <v>964209.283008389</v>
      </c>
      <c r="F107" s="33" t="n">
        <v>943870.495136466</v>
      </c>
    </row>
    <row r="108" customFormat="false" ht="25.5" hidden="false" customHeight="true" outlineLevel="0" collapsed="false">
      <c r="A108" s="28"/>
      <c r="B108" s="22" t="s">
        <v>74</v>
      </c>
      <c r="C108" s="23" t="s">
        <v>36</v>
      </c>
      <c r="D108" s="33" t="n">
        <f aca="false">D109+D110</f>
        <v>1112258.242</v>
      </c>
      <c r="E108" s="24" t="n">
        <f aca="false">E109+E110</f>
        <v>873306.346476097</v>
      </c>
      <c r="F108" s="33" t="n">
        <f aca="false">F109+F110</f>
        <v>836062.113024151</v>
      </c>
    </row>
    <row r="109" customFormat="false" ht="26.25" hidden="false" customHeight="true" outlineLevel="0" collapsed="false">
      <c r="A109" s="28"/>
      <c r="B109" s="22" t="s">
        <v>42</v>
      </c>
      <c r="C109" s="23" t="s">
        <v>36</v>
      </c>
      <c r="D109" s="33" t="n">
        <v>649244.851</v>
      </c>
      <c r="E109" s="24" t="n">
        <v>471352.132215935</v>
      </c>
      <c r="F109" s="33" t="n">
        <v>443573.088848823</v>
      </c>
    </row>
    <row r="110" customFormat="false" ht="24" hidden="false" customHeight="true" outlineLevel="0" collapsed="false">
      <c r="A110" s="28"/>
      <c r="B110" s="22" t="s">
        <v>43</v>
      </c>
      <c r="C110" s="23" t="s">
        <v>36</v>
      </c>
      <c r="D110" s="33" t="n">
        <v>463013.391</v>
      </c>
      <c r="E110" s="24" t="n">
        <v>401954.214260162</v>
      </c>
      <c r="F110" s="33" t="n">
        <v>392489.024175328</v>
      </c>
    </row>
    <row r="111" customFormat="false" ht="64.5" hidden="false" customHeight="true" outlineLevel="0" collapsed="false">
      <c r="A111" s="21" t="s">
        <v>75</v>
      </c>
      <c r="B111" s="22" t="s">
        <v>76</v>
      </c>
      <c r="C111" s="23" t="s">
        <v>36</v>
      </c>
      <c r="D111" s="24" t="n">
        <f aca="false">D112+D113</f>
        <v>2339942.525</v>
      </c>
      <c r="E111" s="24" t="n">
        <f aca="false">E112+E113</f>
        <v>2072916.277</v>
      </c>
      <c r="F111" s="33" t="n">
        <f aca="false">F112+F113</f>
        <v>2072916.277</v>
      </c>
    </row>
    <row r="112" customFormat="false" ht="25.5" hidden="false" customHeight="true" outlineLevel="0" collapsed="false">
      <c r="A112" s="28"/>
      <c r="B112" s="22" t="s">
        <v>77</v>
      </c>
      <c r="C112" s="23" t="s">
        <v>36</v>
      </c>
      <c r="D112" s="33" t="n">
        <v>1225413.327</v>
      </c>
      <c r="E112" s="24" t="n">
        <v>1059906.826</v>
      </c>
      <c r="F112" s="33" t="n">
        <v>1059906.826</v>
      </c>
      <c r="J112" s="27"/>
    </row>
    <row r="113" customFormat="false" ht="25.5" hidden="false" customHeight="true" outlineLevel="0" collapsed="false">
      <c r="A113" s="28"/>
      <c r="B113" s="22" t="s">
        <v>78</v>
      </c>
      <c r="C113" s="23" t="s">
        <v>36</v>
      </c>
      <c r="D113" s="33" t="n">
        <v>1114529.198</v>
      </c>
      <c r="E113" s="24" t="n">
        <v>1013009.451</v>
      </c>
      <c r="F113" s="33" t="n">
        <v>1013009.451</v>
      </c>
      <c r="G113" s="42"/>
    </row>
    <row r="114" customFormat="false" ht="28.5" hidden="false" customHeight="false" outlineLevel="0" collapsed="false">
      <c r="A114" s="21" t="s">
        <v>79</v>
      </c>
      <c r="B114" s="22" t="s">
        <v>80</v>
      </c>
      <c r="C114" s="23" t="s">
        <v>81</v>
      </c>
      <c r="D114" s="43" t="n">
        <f aca="false">D116+D117</f>
        <v>1046.363</v>
      </c>
      <c r="E114" s="44" t="n">
        <f aca="false">E116+E117</f>
        <v>1066.914</v>
      </c>
      <c r="F114" s="43" t="n">
        <f aca="false">F116+F117</f>
        <v>1087.467</v>
      </c>
    </row>
    <row r="115" customFormat="false" ht="18" hidden="false" customHeight="true" outlineLevel="0" collapsed="false">
      <c r="A115" s="28"/>
      <c r="B115" s="22" t="s">
        <v>37</v>
      </c>
      <c r="C115" s="29"/>
      <c r="D115" s="45"/>
      <c r="E115" s="46"/>
      <c r="F115" s="45"/>
    </row>
    <row r="116" customFormat="false" ht="32.25" hidden="false" customHeight="true" outlineLevel="0" collapsed="false">
      <c r="A116" s="21" t="s">
        <v>82</v>
      </c>
      <c r="B116" s="22" t="s">
        <v>83</v>
      </c>
      <c r="C116" s="23" t="s">
        <v>81</v>
      </c>
      <c r="D116" s="48" t="n">
        <f aca="false">2.722+1015</f>
        <v>1017.722</v>
      </c>
      <c r="E116" s="47" t="n">
        <f aca="false">2.758+1035</f>
        <v>1037.758</v>
      </c>
      <c r="F116" s="48" t="n">
        <f aca="false">2.794+1055</f>
        <v>1057.794</v>
      </c>
    </row>
    <row r="117" customFormat="false" ht="78" hidden="false" customHeight="true" outlineLevel="0" collapsed="false">
      <c r="A117" s="21" t="s">
        <v>84</v>
      </c>
      <c r="B117" s="22" t="s">
        <v>85</v>
      </c>
      <c r="C117" s="23" t="s">
        <v>81</v>
      </c>
      <c r="D117" s="49" t="n">
        <f aca="false">D118+D119+D120</f>
        <v>28.641</v>
      </c>
      <c r="E117" s="49" t="n">
        <f aca="false">E118+E119+E120</f>
        <v>29.156</v>
      </c>
      <c r="F117" s="49" t="n">
        <f aca="false">F118+F119+F120</f>
        <v>29.673</v>
      </c>
    </row>
    <row r="118" customFormat="false" ht="22.5" hidden="false" customHeight="true" outlineLevel="0" collapsed="false">
      <c r="A118" s="28"/>
      <c r="B118" s="22" t="s">
        <v>72</v>
      </c>
      <c r="C118" s="23" t="s">
        <v>81</v>
      </c>
      <c r="D118" s="44" t="n">
        <v>28.162</v>
      </c>
      <c r="E118" s="44" t="n">
        <v>28.673</v>
      </c>
      <c r="F118" s="43" t="n">
        <v>29.184</v>
      </c>
    </row>
    <row r="119" customFormat="false" ht="21" hidden="false" customHeight="true" outlineLevel="0" collapsed="false">
      <c r="A119" s="28"/>
      <c r="B119" s="22" t="s">
        <v>73</v>
      </c>
      <c r="C119" s="23" t="s">
        <v>81</v>
      </c>
      <c r="D119" s="44" t="n">
        <v>0.455</v>
      </c>
      <c r="E119" s="44" t="n">
        <v>0.461</v>
      </c>
      <c r="F119" s="43" t="n">
        <v>0.467</v>
      </c>
    </row>
    <row r="120" customFormat="false" ht="24" hidden="false" customHeight="true" outlineLevel="0" collapsed="false">
      <c r="A120" s="28"/>
      <c r="B120" s="22" t="s">
        <v>74</v>
      </c>
      <c r="C120" s="23" t="s">
        <v>81</v>
      </c>
      <c r="D120" s="44" t="n">
        <v>0.024</v>
      </c>
      <c r="E120" s="44" t="n">
        <v>0.022</v>
      </c>
      <c r="F120" s="43" t="n">
        <v>0.022</v>
      </c>
    </row>
    <row r="121" customFormat="false" ht="62.25" hidden="false" customHeight="true" outlineLevel="0" collapsed="false">
      <c r="A121" s="21" t="s">
        <v>86</v>
      </c>
      <c r="B121" s="22" t="s">
        <v>87</v>
      </c>
      <c r="C121" s="23" t="s">
        <v>81</v>
      </c>
      <c r="D121" s="48" t="n">
        <v>0.048</v>
      </c>
      <c r="E121" s="44" t="n">
        <v>0.047</v>
      </c>
      <c r="F121" s="43" t="n">
        <v>0.047</v>
      </c>
    </row>
    <row r="122" customFormat="false" ht="35.25" hidden="false" customHeight="true" outlineLevel="0" collapsed="false">
      <c r="A122" s="21" t="s">
        <v>88</v>
      </c>
      <c r="B122" s="50" t="s">
        <v>89</v>
      </c>
      <c r="C122" s="23" t="s">
        <v>90</v>
      </c>
      <c r="D122" s="37" t="n">
        <f aca="false">D124+D125</f>
        <v>1159689</v>
      </c>
      <c r="E122" s="51" t="n">
        <f aca="false">E124+E125</f>
        <v>1182595</v>
      </c>
      <c r="F122" s="37" t="n">
        <f aca="false">F124+F125</f>
        <v>1207654</v>
      </c>
    </row>
    <row r="123" customFormat="false" ht="24.75" hidden="false" customHeight="true" outlineLevel="0" collapsed="false">
      <c r="A123" s="28"/>
      <c r="B123" s="22" t="s">
        <v>37</v>
      </c>
      <c r="C123" s="29"/>
      <c r="D123" s="37"/>
      <c r="E123" s="51"/>
      <c r="F123" s="37"/>
    </row>
    <row r="124" customFormat="false" ht="33" hidden="false" customHeight="true" outlineLevel="0" collapsed="false">
      <c r="A124" s="21" t="s">
        <v>91</v>
      </c>
      <c r="B124" s="50" t="s">
        <v>92</v>
      </c>
      <c r="C124" s="23" t="s">
        <v>90</v>
      </c>
      <c r="D124" s="37" t="n">
        <f aca="false">1058080+18289</f>
        <v>1076369</v>
      </c>
      <c r="E124" s="51" t="n">
        <f aca="false">1079241+19545</f>
        <v>1098786</v>
      </c>
      <c r="F124" s="37" t="n">
        <f aca="false">1100825+22757</f>
        <v>1123582</v>
      </c>
    </row>
    <row r="125" customFormat="false" ht="78.75" hidden="false" customHeight="true" outlineLevel="0" collapsed="false">
      <c r="A125" s="21" t="s">
        <v>93</v>
      </c>
      <c r="B125" s="50" t="s">
        <v>94</v>
      </c>
      <c r="C125" s="23" t="s">
        <v>90</v>
      </c>
      <c r="D125" s="37" t="n">
        <f aca="false">D126+D127+D128</f>
        <v>83320</v>
      </c>
      <c r="E125" s="37" t="n">
        <f aca="false">E126+E127+E128</f>
        <v>83809</v>
      </c>
      <c r="F125" s="37" t="n">
        <f aca="false">F126+F127+F128</f>
        <v>84072</v>
      </c>
    </row>
    <row r="126" customFormat="false" ht="26.25" hidden="false" customHeight="true" outlineLevel="0" collapsed="false">
      <c r="A126" s="28"/>
      <c r="B126" s="52" t="s">
        <v>72</v>
      </c>
      <c r="C126" s="53" t="s">
        <v>90</v>
      </c>
      <c r="D126" s="37" t="n">
        <v>80848</v>
      </c>
      <c r="E126" s="51" t="n">
        <v>81337</v>
      </c>
      <c r="F126" s="37" t="n">
        <v>81600</v>
      </c>
    </row>
    <row r="127" customFormat="false" ht="26.25" hidden="false" customHeight="true" outlineLevel="0" collapsed="false">
      <c r="A127" s="28"/>
      <c r="B127" s="52" t="s">
        <v>73</v>
      </c>
      <c r="C127" s="53" t="s">
        <v>90</v>
      </c>
      <c r="D127" s="37" t="n">
        <v>2054</v>
      </c>
      <c r="E127" s="51" t="n">
        <v>2054</v>
      </c>
      <c r="F127" s="37" t="n">
        <v>2054</v>
      </c>
    </row>
    <row r="128" customFormat="false" ht="25.5" hidden="false" customHeight="true" outlineLevel="0" collapsed="false">
      <c r="A128" s="28"/>
      <c r="B128" s="52" t="s">
        <v>74</v>
      </c>
      <c r="C128" s="53" t="s">
        <v>90</v>
      </c>
      <c r="D128" s="37" t="n">
        <v>418</v>
      </c>
      <c r="E128" s="51" t="n">
        <v>418</v>
      </c>
      <c r="F128" s="37" t="n">
        <v>418</v>
      </c>
    </row>
    <row r="129" customFormat="false" ht="27.75" hidden="false" customHeight="true" outlineLevel="0" collapsed="false">
      <c r="A129" s="21" t="s">
        <v>95</v>
      </c>
      <c r="B129" s="52" t="s">
        <v>96</v>
      </c>
      <c r="C129" s="53" t="s">
        <v>90</v>
      </c>
      <c r="D129" s="37" t="s">
        <v>97</v>
      </c>
      <c r="E129" s="51" t="s">
        <v>97</v>
      </c>
      <c r="F129" s="37" t="s">
        <v>97</v>
      </c>
    </row>
    <row r="130" customFormat="false" ht="32.25" hidden="false" customHeight="true" outlineLevel="0" collapsed="false">
      <c r="A130" s="21" t="s">
        <v>98</v>
      </c>
      <c r="B130" s="22" t="s">
        <v>99</v>
      </c>
      <c r="C130" s="23" t="s">
        <v>100</v>
      </c>
      <c r="D130" s="51" t="n">
        <v>2086413.22</v>
      </c>
      <c r="E130" s="51" t="n">
        <v>2698142.97</v>
      </c>
      <c r="F130" s="37" t="n">
        <v>5910923.80652237</v>
      </c>
    </row>
    <row r="131" customFormat="false" ht="42.75" hidden="false" customHeight="false" outlineLevel="0" collapsed="false">
      <c r="A131" s="21" t="s">
        <v>101</v>
      </c>
      <c r="B131" s="50" t="s">
        <v>102</v>
      </c>
      <c r="C131" s="54"/>
      <c r="D131" s="55"/>
      <c r="E131" s="56"/>
      <c r="F131" s="55"/>
    </row>
    <row r="132" customFormat="false" ht="28.5" hidden="false" customHeight="false" outlineLevel="0" collapsed="false">
      <c r="A132" s="21" t="s">
        <v>103</v>
      </c>
      <c r="B132" s="22" t="s">
        <v>104</v>
      </c>
      <c r="C132" s="23" t="s">
        <v>105</v>
      </c>
      <c r="D132" s="51" t="n">
        <v>1092</v>
      </c>
      <c r="E132" s="51" t="n">
        <v>1155</v>
      </c>
      <c r="F132" s="37" t="n">
        <v>1155</v>
      </c>
    </row>
    <row r="133" customFormat="false" ht="48" hidden="false" customHeight="true" outlineLevel="0" collapsed="false">
      <c r="A133" s="57" t="s">
        <v>106</v>
      </c>
      <c r="B133" s="22" t="s">
        <v>107</v>
      </c>
      <c r="C133" s="23" t="s">
        <v>108</v>
      </c>
      <c r="D133" s="59" t="n">
        <v>56.5</v>
      </c>
      <c r="E133" s="58" t="n">
        <v>58.3</v>
      </c>
      <c r="F133" s="59" t="n">
        <v>60.4</v>
      </c>
    </row>
    <row r="134" customFormat="false" ht="47.25" hidden="false" customHeight="true" outlineLevel="0" collapsed="false">
      <c r="A134" s="21" t="s">
        <v>109</v>
      </c>
      <c r="B134" s="50" t="s">
        <v>110</v>
      </c>
      <c r="C134" s="54"/>
      <c r="D134" s="37" t="s">
        <v>97</v>
      </c>
      <c r="E134" s="51" t="s">
        <v>97</v>
      </c>
      <c r="F134" s="37" t="s">
        <v>97</v>
      </c>
    </row>
    <row r="135" customFormat="false" ht="31.5" hidden="false" customHeight="true" outlineLevel="0" collapsed="false">
      <c r="A135" s="21" t="s">
        <v>111</v>
      </c>
      <c r="B135" s="22" t="s">
        <v>112</v>
      </c>
      <c r="C135" s="23" t="s">
        <v>100</v>
      </c>
      <c r="D135" s="37" t="n">
        <v>437487.48</v>
      </c>
      <c r="E135" s="51" t="n">
        <v>376888.6</v>
      </c>
      <c r="F135" s="37" t="n">
        <v>381894.789</v>
      </c>
    </row>
    <row r="136" customFormat="false" ht="32.25" hidden="false" customHeight="true" outlineLevel="0" collapsed="false">
      <c r="A136" s="21" t="s">
        <v>113</v>
      </c>
      <c r="B136" s="22" t="s">
        <v>114</v>
      </c>
      <c r="C136" s="23" t="s">
        <v>100</v>
      </c>
      <c r="D136" s="37" t="n">
        <v>598717.44</v>
      </c>
      <c r="E136" s="51" t="n">
        <v>570767.18</v>
      </c>
      <c r="F136" s="37" t="n">
        <v>602594.37</v>
      </c>
    </row>
    <row r="137" customFormat="false" ht="33.75" hidden="false" customHeight="true" outlineLevel="0" collapsed="false">
      <c r="A137" s="21" t="s">
        <v>115</v>
      </c>
      <c r="B137" s="22" t="s">
        <v>116</v>
      </c>
      <c r="C137" s="23" t="s">
        <v>100</v>
      </c>
      <c r="D137" s="37" t="n">
        <v>274452.94</v>
      </c>
      <c r="E137" s="51" t="n">
        <v>301024.96</v>
      </c>
      <c r="F137" s="37" t="n">
        <v>332129.928</v>
      </c>
    </row>
    <row r="138" customFormat="false" ht="31.5" hidden="false" customHeight="true" outlineLevel="0" collapsed="false">
      <c r="A138" s="21" t="s">
        <v>117</v>
      </c>
      <c r="B138" s="22" t="s">
        <v>118</v>
      </c>
      <c r="C138" s="23" t="s">
        <v>100</v>
      </c>
      <c r="D138" s="51" t="s">
        <v>97</v>
      </c>
      <c r="E138" s="51" t="s">
        <v>97</v>
      </c>
      <c r="F138" s="37" t="s">
        <v>97</v>
      </c>
    </row>
    <row r="139" customFormat="false" ht="51" hidden="false" customHeight="true" outlineLevel="0" collapsed="false">
      <c r="A139" s="21" t="s">
        <v>119</v>
      </c>
      <c r="B139" s="22" t="s">
        <v>120</v>
      </c>
      <c r="C139" s="23" t="s">
        <v>121</v>
      </c>
      <c r="D139" s="60" t="n">
        <f aca="false">D137/D130*100%</f>
        <v>0.131542945265655</v>
      </c>
      <c r="E139" s="60" t="n">
        <f aca="false">E137/E130*100%</f>
        <v>0.111567460785816</v>
      </c>
      <c r="F139" s="60" t="n">
        <f aca="false">F137/F130*100%</f>
        <v>0.056189174293452</v>
      </c>
    </row>
    <row r="140" customFormat="false" ht="176.25" hidden="false" customHeight="true" outlineLevel="0" collapsed="false">
      <c r="A140" s="61" t="s">
        <v>122</v>
      </c>
      <c r="B140" s="62" t="s">
        <v>123</v>
      </c>
      <c r="C140" s="63"/>
      <c r="D140" s="64" t="s">
        <v>173</v>
      </c>
      <c r="E140" s="64" t="s">
        <v>124</v>
      </c>
      <c r="F140" s="64" t="s">
        <v>124</v>
      </c>
    </row>
    <row r="141" customFormat="false" ht="14.25" hidden="false" customHeight="false" outlineLevel="0" collapsed="false">
      <c r="A141" s="6"/>
    </row>
    <row r="142" customFormat="false" ht="14.25" hidden="false" customHeight="false" outlineLevel="0" collapsed="false">
      <c r="A142" s="67" t="s">
        <v>126</v>
      </c>
      <c r="B142" s="67"/>
      <c r="C142" s="67"/>
      <c r="D142" s="68"/>
      <c r="E142" s="68"/>
      <c r="F142" s="68"/>
      <c r="G142" s="67"/>
    </row>
    <row r="143" customFormat="false" ht="14.25" hidden="false" customHeight="false" outlineLevel="0" collapsed="false">
      <c r="A143" s="69"/>
      <c r="B143" s="69"/>
      <c r="C143" s="69"/>
      <c r="D143" s="69"/>
    </row>
    <row r="144" customFormat="false" ht="15" hidden="false" customHeight="false" outlineLevel="0" collapsed="false">
      <c r="A144" s="13"/>
    </row>
    <row r="145" customFormat="false" ht="15" hidden="false" customHeight="false" outlineLevel="0" collapsed="false">
      <c r="A145" s="13"/>
    </row>
    <row r="146" customFormat="false" ht="15" hidden="false" customHeight="false" outlineLevel="0" collapsed="false">
      <c r="A146" s="13"/>
    </row>
    <row r="147" customFormat="false" ht="15" hidden="false" customHeight="false" outlineLevel="0" collapsed="false">
      <c r="A147" s="13"/>
    </row>
    <row r="148" customFormat="false" ht="15" hidden="false" customHeight="false" outlineLevel="0" collapsed="false">
      <c r="A148" s="13"/>
    </row>
    <row r="149" customFormat="false" ht="15" hidden="false" customHeight="false" outlineLevel="0" collapsed="false">
      <c r="A149" s="13"/>
      <c r="H149" s="14" t="s">
        <v>127</v>
      </c>
    </row>
    <row r="150" customFormat="false" ht="15" hidden="false" customHeight="false" outlineLevel="0" collapsed="false">
      <c r="A150" s="13"/>
      <c r="H150" s="15" t="s">
        <v>27</v>
      </c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s="1" customFormat="true" ht="15.75" hidden="false" customHeight="false" outlineLevel="0" collapsed="false">
      <c r="A154" s="70" t="s">
        <v>128</v>
      </c>
      <c r="B154" s="70"/>
      <c r="C154" s="70"/>
      <c r="D154" s="70"/>
      <c r="E154" s="70"/>
    </row>
    <row r="155" customFormat="false" ht="51.75" hidden="false" customHeight="true" outlineLevel="0" collapsed="false">
      <c r="A155" s="16" t="s">
        <v>28</v>
      </c>
      <c r="B155" s="16" t="s">
        <v>29</v>
      </c>
      <c r="C155" s="16" t="s">
        <v>30</v>
      </c>
      <c r="D155" s="18" t="s">
        <v>129</v>
      </c>
      <c r="E155" s="18"/>
      <c r="F155" s="18" t="s">
        <v>171</v>
      </c>
      <c r="G155" s="18"/>
      <c r="H155" s="16" t="s">
        <v>130</v>
      </c>
      <c r="I155" s="16"/>
    </row>
    <row r="156" customFormat="false" ht="32.25" hidden="false" customHeight="true" outlineLevel="0" collapsed="false">
      <c r="A156" s="16"/>
      <c r="B156" s="16"/>
      <c r="C156" s="16"/>
      <c r="D156" s="71" t="s">
        <v>131</v>
      </c>
      <c r="E156" s="71" t="s">
        <v>132</v>
      </c>
      <c r="F156" s="18" t="s">
        <v>131</v>
      </c>
      <c r="G156" s="18" t="s">
        <v>132</v>
      </c>
      <c r="H156" s="72" t="s">
        <v>131</v>
      </c>
      <c r="I156" s="16" t="s">
        <v>132</v>
      </c>
    </row>
    <row r="157" customFormat="false" ht="14.25" hidden="false" customHeight="false" outlineLevel="0" collapsed="false">
      <c r="A157" s="73"/>
      <c r="B157" s="50"/>
      <c r="C157" s="74"/>
      <c r="D157" s="75"/>
      <c r="E157" s="76"/>
      <c r="F157" s="76"/>
      <c r="G157" s="75"/>
      <c r="H157" s="77"/>
      <c r="I157" s="74"/>
    </row>
    <row r="158" customFormat="false" ht="21" hidden="false" customHeight="true" outlineLevel="0" collapsed="false">
      <c r="A158" s="73" t="s">
        <v>88</v>
      </c>
      <c r="B158" s="50" t="s">
        <v>133</v>
      </c>
      <c r="C158" s="74"/>
      <c r="D158" s="75"/>
      <c r="E158" s="76"/>
      <c r="F158" s="76"/>
      <c r="G158" s="75"/>
      <c r="H158" s="77"/>
      <c r="I158" s="74"/>
    </row>
    <row r="159" customFormat="false" ht="47.25" hidden="false" customHeight="true" outlineLevel="0" collapsed="false">
      <c r="A159" s="73" t="s">
        <v>91</v>
      </c>
      <c r="B159" s="50" t="s">
        <v>174</v>
      </c>
      <c r="C159" s="73" t="s">
        <v>135</v>
      </c>
      <c r="D159" s="78" t="n">
        <v>138.39</v>
      </c>
      <c r="E159" s="78" t="n">
        <v>210.33</v>
      </c>
      <c r="F159" s="78" t="n">
        <v>213.9</v>
      </c>
      <c r="G159" s="78" t="n">
        <v>396.78</v>
      </c>
      <c r="H159" s="78" t="n">
        <v>396.78</v>
      </c>
      <c r="I159" s="79" t="n">
        <v>964.77</v>
      </c>
    </row>
    <row r="160" customFormat="false" ht="65.25" hidden="false" customHeight="true" outlineLevel="0" collapsed="false">
      <c r="A160" s="73" t="s">
        <v>93</v>
      </c>
      <c r="B160" s="50" t="s">
        <v>136</v>
      </c>
      <c r="C160" s="73" t="s">
        <v>135</v>
      </c>
      <c r="D160" s="21" t="n">
        <v>76.4</v>
      </c>
      <c r="E160" s="21" t="n">
        <v>176.47</v>
      </c>
      <c r="F160" s="21" t="n">
        <v>176.47</v>
      </c>
      <c r="G160" s="21" t="n">
        <v>318.84</v>
      </c>
      <c r="H160" s="21" t="n">
        <v>318.84</v>
      </c>
      <c r="I160" s="79" t="n">
        <v>1540.08</v>
      </c>
    </row>
    <row r="161" customFormat="false" ht="33.75" hidden="false" customHeight="true" outlineLevel="0" collapsed="false">
      <c r="A161" s="73" t="s">
        <v>137</v>
      </c>
      <c r="B161" s="50" t="s">
        <v>138</v>
      </c>
      <c r="C161" s="73" t="s">
        <v>135</v>
      </c>
      <c r="D161" s="75"/>
      <c r="E161" s="76"/>
      <c r="F161" s="76"/>
      <c r="G161" s="75"/>
      <c r="H161" s="75"/>
      <c r="I161" s="74"/>
    </row>
    <row r="162" customFormat="false" ht="23.25" hidden="false" customHeight="true" outlineLevel="0" collapsed="false">
      <c r="A162" s="74"/>
      <c r="B162" s="50" t="s">
        <v>72</v>
      </c>
      <c r="C162" s="73" t="s">
        <v>135</v>
      </c>
      <c r="D162" s="80" t="n">
        <v>271.08</v>
      </c>
      <c r="E162" s="80" t="n">
        <v>241.4</v>
      </c>
      <c r="F162" s="80" t="n">
        <v>241.4</v>
      </c>
      <c r="G162" s="80" t="n">
        <v>321.8</v>
      </c>
      <c r="H162" s="80" t="n">
        <v>321.8</v>
      </c>
      <c r="I162" s="80" t="n">
        <v>420.32</v>
      </c>
    </row>
    <row r="163" customFormat="false" ht="21.75" hidden="false" customHeight="true" outlineLevel="0" collapsed="false">
      <c r="A163" s="74"/>
      <c r="B163" s="50" t="s">
        <v>73</v>
      </c>
      <c r="C163" s="73" t="s">
        <v>135</v>
      </c>
      <c r="D163" s="80" t="n">
        <v>185.03</v>
      </c>
      <c r="E163" s="80" t="n">
        <v>166.31</v>
      </c>
      <c r="F163" s="80" t="n">
        <v>166.31</v>
      </c>
      <c r="G163" s="80" t="n">
        <v>217.61</v>
      </c>
      <c r="H163" s="80" t="n">
        <v>217.61</v>
      </c>
      <c r="I163" s="80" t="n">
        <v>273.45</v>
      </c>
    </row>
    <row r="164" customFormat="false" ht="23.25" hidden="false" customHeight="true" outlineLevel="0" collapsed="false">
      <c r="A164" s="81"/>
      <c r="B164" s="82" t="s">
        <v>74</v>
      </c>
      <c r="C164" s="83" t="s">
        <v>135</v>
      </c>
      <c r="D164" s="84" t="n">
        <v>95.96</v>
      </c>
      <c r="E164" s="84" t="n">
        <v>79.73</v>
      </c>
      <c r="F164" s="84" t="n">
        <v>79.73</v>
      </c>
      <c r="G164" s="84" t="n">
        <v>167.49</v>
      </c>
      <c r="H164" s="84" t="n">
        <v>167.49</v>
      </c>
      <c r="I164" s="85" t="n">
        <v>211</v>
      </c>
    </row>
    <row r="165" customFormat="false" ht="14.25" hidden="false" customHeight="false" outlineLevel="0" collapsed="false">
      <c r="A165" s="5"/>
      <c r="B165" s="5"/>
      <c r="C165" s="5"/>
      <c r="D165" s="5"/>
      <c r="E165" s="5"/>
      <c r="F165" s="5"/>
    </row>
    <row r="166" customFormat="false" ht="14.25" hidden="false" customHeight="false" outlineLevel="0" collapsed="false">
      <c r="A166" s="67" t="s">
        <v>126</v>
      </c>
      <c r="B166" s="67"/>
      <c r="C166" s="67"/>
      <c r="D166" s="68"/>
      <c r="E166" s="68"/>
      <c r="F166" s="68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3:D143"/>
    <mergeCell ref="A154:E154"/>
    <mergeCell ref="A155:A156"/>
    <mergeCell ref="B155:B156"/>
    <mergeCell ref="C155:C156"/>
    <mergeCell ref="D155:E155"/>
    <mergeCell ref="F155:G155"/>
    <mergeCell ref="H155:I155"/>
    <mergeCell ref="A165:F165"/>
  </mergeCells>
  <hyperlinks>
    <hyperlink ref="C32" r:id="rId1" display="kanz@es.krasnoyarsk.ru"/>
    <hyperlink ref="H47" location="sub_10000" display="к предложению о размере цен"/>
    <hyperlink ref="H150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72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I165" activeCellId="0" sqref="I165"/>
    </sheetView>
  </sheetViews>
  <sheetFormatPr defaultRowHeight="14.2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43.29"/>
    <col collapsed="false" customWidth="true" hidden="false" outlineLevel="0" max="3" min="3" style="1" width="12.86"/>
    <col collapsed="false" customWidth="true" hidden="false" outlineLevel="0" max="4" min="4" style="2" width="14.57"/>
    <col collapsed="false" customWidth="true" hidden="false" outlineLevel="0" max="6" min="5" style="2" width="15.29"/>
    <col collapsed="false" customWidth="true" hidden="false" outlineLevel="0" max="7" min="7" style="1" width="11.57"/>
    <col collapsed="false" customWidth="true" hidden="false" outlineLevel="0" max="9" min="8" style="1" width="13.57"/>
    <col collapsed="false" customWidth="true" hidden="false" outlineLevel="0" max="10" min="10" style="1" width="10.13"/>
    <col collapsed="false" customWidth="true" hidden="false" outlineLevel="0" max="11" min="11" style="1" width="9.13"/>
    <col collapsed="false" customWidth="true" hidden="false" outlineLevel="0" max="13" min="12" style="1" width="10.13"/>
    <col collapsed="false" customWidth="true" hidden="false" outlineLevel="0" max="1025" min="14" style="1" width="9.13"/>
  </cols>
  <sheetData>
    <row r="1" s="1" customFormat="true" ht="15" hidden="false" customHeight="false" outlineLevel="0" collapsed="false">
      <c r="A1" s="3" t="s">
        <v>0</v>
      </c>
      <c r="B1" s="3"/>
      <c r="C1" s="3"/>
      <c r="D1" s="3"/>
      <c r="E1" s="3"/>
    </row>
    <row r="2" s="1" customFormat="true" ht="15" hidden="false" customHeight="false" outlineLevel="0" collapsed="false">
      <c r="A2" s="4" t="s">
        <v>1</v>
      </c>
      <c r="B2" s="4"/>
      <c r="C2" s="4"/>
      <c r="D2" s="4"/>
      <c r="E2" s="4"/>
    </row>
    <row r="3" s="1" customFormat="true" ht="15" hidden="false" customHeight="false" outlineLevel="0" collapsed="false">
      <c r="A3" s="4" t="s">
        <v>175</v>
      </c>
      <c r="B3" s="4"/>
      <c r="C3" s="4"/>
      <c r="D3" s="4"/>
      <c r="E3" s="4"/>
    </row>
    <row r="4" s="1" customFormat="true" ht="15" hidden="false" customHeight="false" outlineLevel="0" collapsed="false">
      <c r="A4" s="4" t="s">
        <v>3</v>
      </c>
      <c r="B4" s="4"/>
      <c r="C4" s="4"/>
      <c r="D4" s="4"/>
      <c r="E4" s="4"/>
    </row>
    <row r="5" s="1" customFormat="true" ht="23.25" hidden="false" customHeight="true" outlineLevel="0" collapsed="false">
      <c r="A5" s="5" t="s">
        <v>4</v>
      </c>
      <c r="B5" s="5"/>
      <c r="C5" s="5"/>
      <c r="D5" s="5"/>
      <c r="E5" s="5"/>
    </row>
    <row r="6" s="1" customFormat="true" ht="14.25" hidden="false" customHeight="false" outlineLevel="0" collapsed="false">
      <c r="A6" s="5" t="s">
        <v>5</v>
      </c>
      <c r="B6" s="5"/>
      <c r="C6" s="5"/>
      <c r="D6" s="5"/>
      <c r="E6" s="5"/>
    </row>
    <row r="7" s="1" customFormat="true" ht="22.5" hidden="false" customHeight="true" outlineLevel="0" collapsed="false">
      <c r="A7" s="5" t="s">
        <v>6</v>
      </c>
      <c r="B7" s="5"/>
      <c r="C7" s="5"/>
      <c r="D7" s="5"/>
      <c r="E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</row>
    <row r="12" customFormat="false" ht="15" hidden="false" customHeight="false" outlineLevel="0" collapsed="false">
      <c r="A12" s="8"/>
      <c r="C12" s="8"/>
      <c r="D12" s="8"/>
    </row>
    <row r="13" customFormat="false" ht="15" hidden="false" customHeight="false" outlineLevel="0" collapsed="false">
      <c r="A13" s="7"/>
      <c r="C13" s="7"/>
      <c r="D13" s="7"/>
    </row>
    <row r="14" customFormat="false" ht="15" hidden="false" customHeight="false" outlineLevel="0" collapsed="false">
      <c r="A14" s="7"/>
      <c r="C14" s="7"/>
      <c r="D14" s="7"/>
    </row>
    <row r="16" s="1" customFormat="true" ht="15" hidden="false" customHeight="false" outlineLevel="0" collapsed="false">
      <c r="A16" s="4" t="s">
        <v>7</v>
      </c>
      <c r="B16" s="4"/>
      <c r="C16" s="4"/>
      <c r="D16" s="4"/>
      <c r="E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9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11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246750001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170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s="1" customFormat="true" ht="15" hidden="false" customHeight="false" outlineLevel="0" collapsed="false">
      <c r="A46" s="4" t="s">
        <v>25</v>
      </c>
      <c r="B46" s="4"/>
      <c r="C46" s="4"/>
      <c r="D46" s="4"/>
      <c r="E46" s="4"/>
      <c r="H46" s="14" t="s">
        <v>26</v>
      </c>
    </row>
    <row r="47" customFormat="false" ht="15" hidden="false" customHeight="false" outlineLevel="0" collapsed="false">
      <c r="A47" s="6"/>
      <c r="H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8" t="s">
        <v>176</v>
      </c>
      <c r="E48" s="19" t="s">
        <v>177</v>
      </c>
      <c r="F48" s="18" t="s">
        <v>178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 t="s">
        <v>36</v>
      </c>
      <c r="D49" s="33" t="n">
        <v>12557062.434</v>
      </c>
      <c r="E49" s="24" t="n">
        <f aca="false">E51+E101+E114</f>
        <v>12160250.563</v>
      </c>
      <c r="F49" s="33" t="n">
        <f aca="false">F51+F101+F114</f>
        <v>11370186.9516296</v>
      </c>
    </row>
    <row r="50" customFormat="false" ht="21.75" hidden="false" customHeight="true" outlineLevel="0" collapsed="false">
      <c r="A50" s="28"/>
      <c r="B50" s="22" t="s">
        <v>37</v>
      </c>
      <c r="C50" s="29"/>
      <c r="D50" s="30"/>
      <c r="E50" s="31"/>
      <c r="F50" s="32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33" t="n">
        <f aca="false">D52+D55</f>
        <v>3419732.656</v>
      </c>
      <c r="E51" s="24" t="n">
        <f aca="false">E52+E55+E94</f>
        <v>3469640.8</v>
      </c>
      <c r="F51" s="33" t="n">
        <f aca="false">F52+F55+F94</f>
        <v>3630000.04062959</v>
      </c>
      <c r="G51" s="118"/>
      <c r="L51" s="27"/>
      <c r="M51" s="27"/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33" t="n">
        <f aca="false">D60+D67+D74+D81+D88+D95</f>
        <v>2030153.656</v>
      </c>
      <c r="E52" s="24" t="n">
        <f aca="false">E60+E67+E88</f>
        <v>2311072.87005395</v>
      </c>
      <c r="F52" s="33" t="n">
        <f aca="false">F60+F67+F88</f>
        <v>2416207.23165422</v>
      </c>
      <c r="G52" s="36"/>
      <c r="L52" s="27"/>
      <c r="M52" s="27"/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33" t="n">
        <f aca="false">D61+D68+D75+D82+D89+D96</f>
        <v>1020866.656</v>
      </c>
      <c r="E53" s="24" t="n">
        <f aca="false">E61+E68+E89</f>
        <v>1191966.388</v>
      </c>
      <c r="F53" s="33" t="n">
        <f aca="false">F61+F68+F89</f>
        <v>1239311.94602266</v>
      </c>
      <c r="G53" s="36"/>
      <c r="L53" s="27"/>
      <c r="M53" s="27"/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33" t="n">
        <f aca="false">D62+D69+D76+D83+D90+D97</f>
        <v>1009287</v>
      </c>
      <c r="E54" s="24" t="n">
        <f aca="false">E62+E69+E90</f>
        <v>1119106.48205395</v>
      </c>
      <c r="F54" s="33" t="n">
        <f aca="false">F62+F69+F90</f>
        <v>1176895.28563156</v>
      </c>
      <c r="L54" s="27"/>
      <c r="M54" s="27"/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33" t="n">
        <f aca="false">D63++D70+D77+D84+D91+D98</f>
        <v>1389579</v>
      </c>
      <c r="E55" s="24" t="n">
        <f aca="false">E63+E70+E91</f>
        <v>963979.095946055</v>
      </c>
      <c r="F55" s="33" t="n">
        <f aca="false">F63+F70+F91</f>
        <v>1003840.80897537</v>
      </c>
      <c r="L55" s="27"/>
      <c r="M55" s="27"/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33" t="n">
        <f aca="false">D64++D71+D78+D85+D92+D99</f>
        <v>728332</v>
      </c>
      <c r="E56" s="24" t="n">
        <f aca="false">E64++E71+E92</f>
        <v>497307.228</v>
      </c>
      <c r="F56" s="33" t="n">
        <f aca="false">F64++F71+F92</f>
        <v>512985.600311015</v>
      </c>
      <c r="L56" s="27"/>
      <c r="M56" s="27"/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33" t="n">
        <f aca="false">D65++D72+D79+D86+D93+D100</f>
        <v>661247</v>
      </c>
      <c r="E57" s="24" t="n">
        <f aca="false">E65++E72+E93</f>
        <v>466671.867946055</v>
      </c>
      <c r="F57" s="33" t="n">
        <f aca="false">F65++F72+F93</f>
        <v>490855.208664355</v>
      </c>
      <c r="L57" s="27"/>
      <c r="M57" s="27"/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32"/>
      <c r="E58" s="31"/>
      <c r="F58" s="32"/>
      <c r="L58" s="27"/>
      <c r="M58" s="27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33" t="n">
        <f aca="false">D60+D63</f>
        <v>391694.656</v>
      </c>
      <c r="E59" s="24" t="n">
        <f aca="false">E60+E63</f>
        <v>426054.920039982</v>
      </c>
      <c r="F59" s="33" t="n">
        <f aca="false">F60+F63</f>
        <v>432277.040629589</v>
      </c>
      <c r="G59" s="36"/>
      <c r="L59" s="27"/>
      <c r="M59" s="27"/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33" t="n">
        <f aca="false">D61+D62</f>
        <v>260878.656</v>
      </c>
      <c r="E60" s="24" t="n">
        <f aca="false">E61+E62</f>
        <v>335129.319116133</v>
      </c>
      <c r="F60" s="33" t="n">
        <f aca="false">F61+F62</f>
        <v>340977.231654218</v>
      </c>
      <c r="G60" s="36"/>
      <c r="L60" s="27"/>
      <c r="M60" s="27"/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33" t="n">
        <v>133481.656</v>
      </c>
      <c r="E61" s="24" t="n">
        <v>172746.825162877</v>
      </c>
      <c r="F61" s="33" t="n">
        <v>176856.946022659</v>
      </c>
      <c r="G61" s="36"/>
      <c r="L61" s="27"/>
      <c r="M61" s="27"/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33" t="n">
        <v>127397</v>
      </c>
      <c r="E62" s="24" t="n">
        <v>162382.493953256</v>
      </c>
      <c r="F62" s="33" t="n">
        <v>164120.285631559</v>
      </c>
      <c r="G62" s="36"/>
      <c r="L62" s="27"/>
      <c r="M62" s="27"/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33" t="n">
        <f aca="false">D64+D65</f>
        <v>130816</v>
      </c>
      <c r="E63" s="24" t="n">
        <f aca="false">E64+E65</f>
        <v>90925.6009238485</v>
      </c>
      <c r="F63" s="33" t="n">
        <f aca="false">F64+F65</f>
        <v>91299.8089753705</v>
      </c>
      <c r="G63" s="36"/>
      <c r="L63" s="27"/>
      <c r="M63" s="27"/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33" t="n">
        <v>68469</v>
      </c>
      <c r="E64" s="24" t="n">
        <v>46000.2958633064</v>
      </c>
      <c r="F64" s="33" t="n">
        <v>46846.6003110155</v>
      </c>
      <c r="L64" s="27"/>
      <c r="M64" s="27"/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33" t="n">
        <v>62347</v>
      </c>
      <c r="E65" s="24" t="n">
        <v>44925.3050605421</v>
      </c>
      <c r="F65" s="33" t="n">
        <v>44453.208664355</v>
      </c>
      <c r="G65" s="27"/>
      <c r="L65" s="27"/>
      <c r="M65" s="27"/>
    </row>
    <row r="66" customFormat="false" ht="66.75" hidden="false" customHeight="true" outlineLevel="0" collapsed="false">
      <c r="A66" s="21" t="s">
        <v>50</v>
      </c>
      <c r="B66" s="22" t="s">
        <v>51</v>
      </c>
      <c r="C66" s="23" t="s">
        <v>36</v>
      </c>
      <c r="D66" s="33" t="n">
        <f aca="false">D67+D70</f>
        <v>1797396</v>
      </c>
      <c r="E66" s="24" t="n">
        <f aca="false">E67+E70</f>
        <v>1861202.44898217</v>
      </c>
      <c r="F66" s="33" t="n">
        <f aca="false">F67+F70</f>
        <v>1949575</v>
      </c>
      <c r="L66" s="27"/>
      <c r="M66" s="27"/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33" t="n">
        <f aca="false">D68+D69</f>
        <v>1096736</v>
      </c>
      <c r="E67" s="24" t="n">
        <f aca="false">E68+E69</f>
        <v>1286679.05122071</v>
      </c>
      <c r="F67" s="33" t="n">
        <f aca="false">F68+F69</f>
        <v>1349755</v>
      </c>
      <c r="L67" s="27"/>
      <c r="M67" s="27"/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33" t="n">
        <v>551530</v>
      </c>
      <c r="E68" s="24" t="n">
        <v>662683.098277612</v>
      </c>
      <c r="F68" s="33" t="n">
        <v>690225</v>
      </c>
      <c r="L68" s="27"/>
      <c r="M68" s="27"/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33" t="n">
        <v>545206</v>
      </c>
      <c r="E69" s="33" t="n">
        <v>623995.952943101</v>
      </c>
      <c r="F69" s="33" t="n">
        <v>659530</v>
      </c>
      <c r="L69" s="27"/>
      <c r="M69" s="27"/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33" t="n">
        <f aca="false">D71+D72</f>
        <v>700660</v>
      </c>
      <c r="E70" s="24" t="n">
        <f aca="false">E71+E72</f>
        <v>574523.397761455</v>
      </c>
      <c r="F70" s="33" t="n">
        <f aca="false">F71+F72</f>
        <v>599820</v>
      </c>
      <c r="L70" s="27"/>
      <c r="M70" s="27"/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37" t="n">
        <v>367051</v>
      </c>
      <c r="E71" s="24" t="n">
        <v>293487.973208396</v>
      </c>
      <c r="F71" s="33" t="n">
        <v>306661</v>
      </c>
      <c r="L71" s="27"/>
      <c r="M71" s="27"/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37" t="n">
        <v>333609</v>
      </c>
      <c r="E72" s="24" t="n">
        <v>281035.424553059</v>
      </c>
      <c r="F72" s="33" t="n">
        <v>293159</v>
      </c>
      <c r="G72" s="27"/>
      <c r="L72" s="27"/>
      <c r="M72" s="27"/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33" t="n">
        <f aca="false">D74+D77</f>
        <v>0</v>
      </c>
      <c r="E73" s="24" t="n">
        <f aca="false">E74+E77</f>
        <v>0</v>
      </c>
      <c r="F73" s="33" t="n">
        <f aca="false">F74+F77</f>
        <v>0</v>
      </c>
      <c r="L73" s="27"/>
      <c r="M73" s="27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33" t="n">
        <f aca="false">D75+D76</f>
        <v>0</v>
      </c>
      <c r="E74" s="24" t="n">
        <f aca="false">E75+E76</f>
        <v>0</v>
      </c>
      <c r="F74" s="33" t="n">
        <f aca="false">F75+F76</f>
        <v>0</v>
      </c>
      <c r="L74" s="27"/>
      <c r="M74" s="27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33"/>
      <c r="E75" s="24"/>
      <c r="F75" s="33"/>
      <c r="L75" s="27"/>
      <c r="M75" s="27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33"/>
      <c r="E76" s="24"/>
      <c r="F76" s="33"/>
      <c r="L76" s="27"/>
      <c r="M76" s="27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33" t="n">
        <f aca="false">D78+D79</f>
        <v>0</v>
      </c>
      <c r="E77" s="24" t="n">
        <f aca="false">E78+E79</f>
        <v>0</v>
      </c>
      <c r="F77" s="33" t="n">
        <f aca="false">F78+F79</f>
        <v>0</v>
      </c>
      <c r="L77" s="27"/>
      <c r="M77" s="27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33"/>
      <c r="E78" s="24"/>
      <c r="F78" s="33"/>
      <c r="L78" s="27"/>
      <c r="M78" s="27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33"/>
      <c r="E79" s="24"/>
      <c r="F79" s="33"/>
      <c r="L79" s="27"/>
      <c r="M79" s="27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33" t="n">
        <f aca="false">D81+D84</f>
        <v>0</v>
      </c>
      <c r="E80" s="24" t="n">
        <f aca="false">E81+E84</f>
        <v>0</v>
      </c>
      <c r="F80" s="33" t="n">
        <f aca="false">F81+F84</f>
        <v>0</v>
      </c>
      <c r="L80" s="27"/>
      <c r="M80" s="27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33" t="n">
        <f aca="false">D82+D83</f>
        <v>0</v>
      </c>
      <c r="E81" s="24" t="n">
        <f aca="false">E82+E83</f>
        <v>0</v>
      </c>
      <c r="F81" s="33" t="n">
        <f aca="false">F82+F83</f>
        <v>0</v>
      </c>
      <c r="L81" s="27"/>
      <c r="M81" s="27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33"/>
      <c r="E82" s="24"/>
      <c r="F82" s="33"/>
      <c r="L82" s="27"/>
      <c r="M82" s="27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33"/>
      <c r="E83" s="24"/>
      <c r="F83" s="33"/>
      <c r="L83" s="27"/>
      <c r="M83" s="27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33" t="n">
        <f aca="false">D85+D86</f>
        <v>0</v>
      </c>
      <c r="E84" s="24" t="n">
        <f aca="false">E85+E86</f>
        <v>0</v>
      </c>
      <c r="F84" s="33" t="n">
        <f aca="false">F85+F86</f>
        <v>0</v>
      </c>
      <c r="L84" s="27"/>
      <c r="M84" s="27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33"/>
      <c r="E85" s="24"/>
      <c r="F85" s="33"/>
      <c r="L85" s="27"/>
      <c r="M85" s="27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33"/>
      <c r="E86" s="24"/>
      <c r="F86" s="33"/>
      <c r="L86" s="27"/>
      <c r="M86" s="27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33" t="n">
        <f aca="false">D88+D91</f>
        <v>1042707</v>
      </c>
      <c r="E87" s="24" t="n">
        <f aca="false">E88+E91</f>
        <v>987794.596977851</v>
      </c>
      <c r="F87" s="33" t="n">
        <f aca="false">F88+F91</f>
        <v>1038196</v>
      </c>
      <c r="L87" s="27"/>
      <c r="M87" s="27"/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33" t="n">
        <f aca="false">D89+D90</f>
        <v>551009</v>
      </c>
      <c r="E88" s="24" t="n">
        <f aca="false">E89+E90</f>
        <v>689264.4997171</v>
      </c>
      <c r="F88" s="33" t="n">
        <f aca="false">F89+F90</f>
        <v>725475</v>
      </c>
      <c r="L88" s="27"/>
      <c r="M88" s="27"/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33" t="n">
        <f aca="false">278859+2</f>
        <v>278861</v>
      </c>
      <c r="E89" s="24" t="n">
        <f aca="false">356536.464559512</f>
        <v>356536.464559512</v>
      </c>
      <c r="F89" s="33" t="n">
        <f aca="false">372228+2</f>
        <v>372230</v>
      </c>
      <c r="L89" s="27"/>
      <c r="M89" s="27"/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33" t="n">
        <v>272148</v>
      </c>
      <c r="E90" s="24" t="n">
        <f aca="false">332728.035157588</f>
        <v>332728.035157588</v>
      </c>
      <c r="F90" s="33" t="n">
        <f aca="false">353242+3</f>
        <v>353245</v>
      </c>
      <c r="G90" s="27"/>
      <c r="L90" s="27"/>
      <c r="M90" s="27"/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33" t="n">
        <f aca="false">D92+D93</f>
        <v>491698</v>
      </c>
      <c r="E91" s="24" t="n">
        <f aca="false">E92+E93</f>
        <v>298530.097260751</v>
      </c>
      <c r="F91" s="33" t="n">
        <f aca="false">F92+F93</f>
        <v>312721</v>
      </c>
      <c r="G91" s="27"/>
      <c r="L91" s="27"/>
      <c r="M91" s="27"/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33" t="n">
        <f aca="false">259249+3</f>
        <v>259252</v>
      </c>
      <c r="E92" s="24" t="n">
        <f aca="false">157818.958928297</f>
        <v>157818.958928297</v>
      </c>
      <c r="F92" s="33" t="n">
        <f aca="false">159476+2</f>
        <v>159478</v>
      </c>
      <c r="L92" s="27"/>
      <c r="M92" s="27"/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33" t="n">
        <v>232446</v>
      </c>
      <c r="E93" s="24" t="n">
        <v>140711.138332454</v>
      </c>
      <c r="F93" s="33" t="n">
        <f aca="false">153238+5</f>
        <v>153243</v>
      </c>
      <c r="G93" s="27"/>
      <c r="L93" s="27"/>
      <c r="M93" s="27"/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40" t="n">
        <f aca="false">D95+D98</f>
        <v>187935</v>
      </c>
      <c r="E94" s="39" t="n">
        <f aca="false">E95+E98</f>
        <v>194588.834</v>
      </c>
      <c r="F94" s="40" t="n">
        <f aca="false">F95+F98</f>
        <v>209952</v>
      </c>
      <c r="L94" s="27"/>
      <c r="M94" s="27"/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39" t="n">
        <f aca="false">D96+D97</f>
        <v>121530</v>
      </c>
      <c r="E95" s="39" t="n">
        <f aca="false">E96+E97</f>
        <v>122755.629946055</v>
      </c>
      <c r="F95" s="40" t="n">
        <f aca="false">F96+F97</f>
        <v>130306</v>
      </c>
      <c r="L95" s="27"/>
      <c r="M95" s="27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37" t="n">
        <v>56994</v>
      </c>
      <c r="E96" s="39" t="n">
        <v>57430.612</v>
      </c>
      <c r="F96" s="57" t="n">
        <v>63210</v>
      </c>
      <c r="L96" s="27"/>
      <c r="M96" s="27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37" t="n">
        <v>64536</v>
      </c>
      <c r="E97" s="39" t="n">
        <v>65325.0179460551</v>
      </c>
      <c r="F97" s="57" t="n">
        <v>67096</v>
      </c>
      <c r="G97" s="27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39" t="n">
        <f aca="false">D99+D100</f>
        <v>66405</v>
      </c>
      <c r="E98" s="39" t="n">
        <f aca="false">E99+E100</f>
        <v>71833.2040539449</v>
      </c>
      <c r="F98" s="57" t="n">
        <f aca="false">F99+F100</f>
        <v>79646</v>
      </c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37" t="n">
        <v>33560</v>
      </c>
      <c r="E99" s="39" t="n">
        <v>34451.972</v>
      </c>
      <c r="F99" s="57" t="n">
        <v>41244</v>
      </c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37" t="n">
        <v>32845</v>
      </c>
      <c r="E100" s="39" t="n">
        <v>37381.2320539449</v>
      </c>
      <c r="F100" s="57" t="n">
        <v>38402</v>
      </c>
      <c r="G100" s="36"/>
    </row>
    <row r="101" customFormat="false" ht="77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33" t="n">
        <f aca="false">D102+D105+D108+D111+7780.443</f>
        <v>6876595.768</v>
      </c>
      <c r="E101" s="24" t="n">
        <f aca="false">E102+E105+E108+E111</f>
        <v>6668700.007</v>
      </c>
      <c r="F101" s="33" t="n">
        <f aca="false">F102+F105+F108+F111</f>
        <v>5718277.155</v>
      </c>
      <c r="G101" s="41"/>
    </row>
    <row r="102" customFormat="false" ht="21.75" hidden="false" customHeight="true" outlineLevel="0" collapsed="false">
      <c r="A102" s="28"/>
      <c r="B102" s="22" t="s">
        <v>179</v>
      </c>
      <c r="C102" s="23" t="s">
        <v>36</v>
      </c>
      <c r="D102" s="33" t="n">
        <f aca="false">D103+D104</f>
        <v>1579361.759</v>
      </c>
      <c r="E102" s="24" t="n">
        <f aca="false">E103+E104</f>
        <v>1526923.21984913</v>
      </c>
      <c r="F102" s="33" t="n">
        <f aca="false">F103+F104</f>
        <v>1459508.40655819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33" t="n">
        <v>822517.574</v>
      </c>
      <c r="E103" s="24" t="n">
        <v>810626.600467421</v>
      </c>
      <c r="F103" s="33" t="n">
        <v>769408.144578194</v>
      </c>
    </row>
    <row r="104" customFormat="false" ht="21" hidden="false" customHeight="true" outlineLevel="0" collapsed="false">
      <c r="A104" s="28"/>
      <c r="B104" s="22" t="s">
        <v>43</v>
      </c>
      <c r="C104" s="23" t="s">
        <v>36</v>
      </c>
      <c r="D104" s="33" t="n">
        <v>756844.185</v>
      </c>
      <c r="E104" s="24" t="n">
        <v>716296.619381711</v>
      </c>
      <c r="F104" s="33" t="n">
        <v>690100.261979992</v>
      </c>
    </row>
    <row r="105" customFormat="false" ht="24.75" hidden="false" customHeight="true" outlineLevel="0" collapsed="false">
      <c r="A105" s="28"/>
      <c r="B105" s="22" t="s">
        <v>180</v>
      </c>
      <c r="C105" s="23" t="s">
        <v>36</v>
      </c>
      <c r="D105" s="33" t="n">
        <f aca="false">D106+D107</f>
        <v>1652030.839</v>
      </c>
      <c r="E105" s="24" t="n">
        <f aca="false">E106+E107</f>
        <v>1565644.64832806</v>
      </c>
      <c r="F105" s="33" t="n">
        <f aca="false">F106+F107</f>
        <v>1498156.79033896</v>
      </c>
    </row>
    <row r="106" customFormat="false" ht="23.25" hidden="false" customHeight="true" outlineLevel="0" collapsed="false">
      <c r="A106" s="28"/>
      <c r="B106" s="22" t="s">
        <v>42</v>
      </c>
      <c r="C106" s="23" t="s">
        <v>36</v>
      </c>
      <c r="D106" s="33" t="n">
        <v>840125.511</v>
      </c>
      <c r="E106" s="24" t="n">
        <v>828933.350050463</v>
      </c>
      <c r="F106" s="33" t="n">
        <v>770965.462378238</v>
      </c>
    </row>
    <row r="107" customFormat="false" ht="21.75" hidden="false" customHeight="true" outlineLevel="0" collapsed="false">
      <c r="A107" s="28"/>
      <c r="B107" s="22" t="s">
        <v>43</v>
      </c>
      <c r="C107" s="23" t="s">
        <v>36</v>
      </c>
      <c r="D107" s="33" t="n">
        <v>811905.328</v>
      </c>
      <c r="E107" s="24" t="n">
        <v>736711.298277596</v>
      </c>
      <c r="F107" s="33" t="n">
        <v>727191.327960724</v>
      </c>
    </row>
    <row r="108" customFormat="false" ht="23.25" hidden="false" customHeight="true" outlineLevel="0" collapsed="false">
      <c r="A108" s="28"/>
      <c r="B108" s="22" t="s">
        <v>73</v>
      </c>
      <c r="C108" s="23" t="s">
        <v>36</v>
      </c>
      <c r="D108" s="33" t="n">
        <f aca="false">D109+D110</f>
        <v>2339482.059</v>
      </c>
      <c r="E108" s="24" t="n">
        <f aca="false">E109+E110</f>
        <v>2205879.4310519</v>
      </c>
      <c r="F108" s="33" t="n">
        <f aca="false">F109+F110</f>
        <v>1861397.33036535</v>
      </c>
    </row>
    <row r="109" customFormat="false" ht="24.75" hidden="false" customHeight="true" outlineLevel="0" collapsed="false">
      <c r="A109" s="28"/>
      <c r="B109" s="22" t="s">
        <v>42</v>
      </c>
      <c r="C109" s="23" t="s">
        <v>36</v>
      </c>
      <c r="D109" s="33" t="n">
        <v>1178300.986</v>
      </c>
      <c r="E109" s="24" t="n">
        <v>1138420.66030579</v>
      </c>
      <c r="F109" s="33" t="n">
        <v>988685.712356964</v>
      </c>
    </row>
    <row r="110" customFormat="false" ht="22.5" hidden="false" customHeight="true" outlineLevel="0" collapsed="false">
      <c r="A110" s="28"/>
      <c r="B110" s="22" t="s">
        <v>43</v>
      </c>
      <c r="C110" s="23" t="s">
        <v>36</v>
      </c>
      <c r="D110" s="33" t="n">
        <v>1161181.073</v>
      </c>
      <c r="E110" s="24" t="n">
        <v>1067458.77074611</v>
      </c>
      <c r="F110" s="33" t="n">
        <v>872711.618008389</v>
      </c>
    </row>
    <row r="111" customFormat="false" ht="25.5" hidden="false" customHeight="true" outlineLevel="0" collapsed="false">
      <c r="A111" s="28"/>
      <c r="B111" s="22" t="s">
        <v>74</v>
      </c>
      <c r="C111" s="23" t="s">
        <v>36</v>
      </c>
      <c r="D111" s="33" t="n">
        <f aca="false">D112+D113</f>
        <v>1297940.668</v>
      </c>
      <c r="E111" s="24" t="n">
        <f aca="false">E112+E113</f>
        <v>1370252.70777091</v>
      </c>
      <c r="F111" s="33" t="n">
        <f aca="false">F112+F113</f>
        <v>899214.6277375</v>
      </c>
    </row>
    <row r="112" customFormat="false" ht="26.25" hidden="false" customHeight="true" outlineLevel="0" collapsed="false">
      <c r="A112" s="28"/>
      <c r="B112" s="22" t="s">
        <v>42</v>
      </c>
      <c r="C112" s="23" t="s">
        <v>36</v>
      </c>
      <c r="D112" s="33" t="n">
        <v>710656.957</v>
      </c>
      <c r="E112" s="24" t="n">
        <v>740848.837176327</v>
      </c>
      <c r="F112" s="33" t="n">
        <v>484052.299350661</v>
      </c>
    </row>
    <row r="113" customFormat="false" ht="24" hidden="false" customHeight="true" outlineLevel="0" collapsed="false">
      <c r="A113" s="28"/>
      <c r="B113" s="22" t="s">
        <v>43</v>
      </c>
      <c r="C113" s="23" t="s">
        <v>36</v>
      </c>
      <c r="D113" s="33" t="n">
        <v>587283.711</v>
      </c>
      <c r="E113" s="24" t="n">
        <v>629403.870594581</v>
      </c>
      <c r="F113" s="33" t="n">
        <v>415162.328386838</v>
      </c>
    </row>
    <row r="114" customFormat="false" ht="64.5" hidden="false" customHeight="true" outlineLevel="0" collapsed="false">
      <c r="A114" s="21" t="s">
        <v>75</v>
      </c>
      <c r="B114" s="22" t="s">
        <v>76</v>
      </c>
      <c r="C114" s="23" t="s">
        <v>36</v>
      </c>
      <c r="D114" s="24" t="n">
        <f aca="false">D115+D116</f>
        <v>2260733.44</v>
      </c>
      <c r="E114" s="24" t="n">
        <f aca="false">E115+E116</f>
        <v>2021909.756</v>
      </c>
      <c r="F114" s="33" t="n">
        <f aca="false">F115+F116</f>
        <v>2021909.756</v>
      </c>
    </row>
    <row r="115" customFormat="false" ht="25.5" hidden="false" customHeight="true" outlineLevel="0" collapsed="false">
      <c r="A115" s="28"/>
      <c r="B115" s="22" t="s">
        <v>77</v>
      </c>
      <c r="C115" s="23" t="s">
        <v>36</v>
      </c>
      <c r="D115" s="33" t="n">
        <v>1065838.508</v>
      </c>
      <c r="E115" s="24" t="n">
        <v>1028024.045</v>
      </c>
      <c r="F115" s="33" t="n">
        <v>1028024.045</v>
      </c>
      <c r="J115" s="27"/>
    </row>
    <row r="116" customFormat="false" ht="25.5" hidden="false" customHeight="true" outlineLevel="0" collapsed="false">
      <c r="A116" s="28"/>
      <c r="B116" s="22" t="s">
        <v>78</v>
      </c>
      <c r="C116" s="23" t="s">
        <v>36</v>
      </c>
      <c r="D116" s="33" t="n">
        <v>1194894.932</v>
      </c>
      <c r="E116" s="24" t="n">
        <v>993885.711</v>
      </c>
      <c r="F116" s="33" t="n">
        <v>993885.711</v>
      </c>
      <c r="G116" s="42"/>
    </row>
    <row r="117" customFormat="false" ht="28.5" hidden="false" customHeight="false" outlineLevel="0" collapsed="false">
      <c r="A117" s="21" t="s">
        <v>79</v>
      </c>
      <c r="B117" s="22" t="s">
        <v>80</v>
      </c>
      <c r="C117" s="23" t="s">
        <v>81</v>
      </c>
      <c r="D117" s="43" t="n">
        <f aca="false">D119+D120</f>
        <v>1030.058</v>
      </c>
      <c r="E117" s="44" t="n">
        <f aca="false">E119+E120</f>
        <v>1038.363</v>
      </c>
      <c r="F117" s="43" t="n">
        <f aca="false">F119+F120</f>
        <v>1048.669</v>
      </c>
    </row>
    <row r="118" customFormat="false" ht="18" hidden="false" customHeight="true" outlineLevel="0" collapsed="false">
      <c r="A118" s="28"/>
      <c r="B118" s="22" t="s">
        <v>37</v>
      </c>
      <c r="C118" s="29"/>
      <c r="D118" s="45"/>
      <c r="E118" s="46"/>
      <c r="F118" s="45"/>
    </row>
    <row r="119" customFormat="false" ht="32.25" hidden="false" customHeight="true" outlineLevel="0" collapsed="false">
      <c r="A119" s="21" t="s">
        <v>82</v>
      </c>
      <c r="B119" s="22" t="s">
        <v>83</v>
      </c>
      <c r="C119" s="23" t="s">
        <v>81</v>
      </c>
      <c r="D119" s="43" t="n">
        <f aca="false">999+2.581</f>
        <v>1001.581</v>
      </c>
      <c r="E119" s="44" t="n">
        <f aca="false">1007+2.722</f>
        <v>1009.722</v>
      </c>
      <c r="F119" s="43" t="n">
        <f aca="false">1017+2.863</f>
        <v>1019.863</v>
      </c>
    </row>
    <row r="120" customFormat="false" ht="78" hidden="false" customHeight="true" outlineLevel="0" collapsed="false">
      <c r="A120" s="21" t="s">
        <v>84</v>
      </c>
      <c r="B120" s="22" t="s">
        <v>85</v>
      </c>
      <c r="C120" s="23" t="s">
        <v>81</v>
      </c>
      <c r="D120" s="48" t="n">
        <v>28.477</v>
      </c>
      <c r="E120" s="44" t="n">
        <v>28.641</v>
      </c>
      <c r="F120" s="43" t="n">
        <v>28.806</v>
      </c>
    </row>
    <row r="121" customFormat="false" ht="24.75" hidden="false" customHeight="true" outlineLevel="0" collapsed="false">
      <c r="A121" s="28"/>
      <c r="B121" s="22" t="s">
        <v>179</v>
      </c>
      <c r="C121" s="23" t="s">
        <v>81</v>
      </c>
      <c r="D121" s="43" t="n">
        <v>24.947</v>
      </c>
      <c r="E121" s="44" t="n">
        <v>25.063</v>
      </c>
      <c r="F121" s="43" t="n">
        <v>25.179</v>
      </c>
    </row>
    <row r="122" customFormat="false" ht="22.5" hidden="false" customHeight="true" outlineLevel="0" collapsed="false">
      <c r="A122" s="28"/>
      <c r="B122" s="22" t="s">
        <v>180</v>
      </c>
      <c r="C122" s="23" t="s">
        <v>81</v>
      </c>
      <c r="D122" s="44" t="n">
        <v>3.063</v>
      </c>
      <c r="E122" s="44" t="n">
        <v>3.099</v>
      </c>
      <c r="F122" s="43" t="n">
        <v>3.135</v>
      </c>
    </row>
    <row r="123" customFormat="false" ht="21" hidden="false" customHeight="true" outlineLevel="0" collapsed="false">
      <c r="A123" s="28"/>
      <c r="B123" s="22" t="s">
        <v>73</v>
      </c>
      <c r="C123" s="23" t="s">
        <v>81</v>
      </c>
      <c r="D123" s="44" t="n">
        <v>0.442</v>
      </c>
      <c r="E123" s="44" t="n">
        <v>0.455</v>
      </c>
      <c r="F123" s="43" t="n">
        <v>0.468</v>
      </c>
    </row>
    <row r="124" customFormat="false" ht="24" hidden="false" customHeight="true" outlineLevel="0" collapsed="false">
      <c r="A124" s="28"/>
      <c r="B124" s="22" t="s">
        <v>74</v>
      </c>
      <c r="C124" s="23" t="s">
        <v>81</v>
      </c>
      <c r="D124" s="44" t="n">
        <v>0.025</v>
      </c>
      <c r="E124" s="44" t="n">
        <v>0.024</v>
      </c>
      <c r="F124" s="43" t="n">
        <v>0.024</v>
      </c>
    </row>
    <row r="125" customFormat="false" ht="62.25" hidden="false" customHeight="true" outlineLevel="0" collapsed="false">
      <c r="A125" s="21" t="s">
        <v>86</v>
      </c>
      <c r="B125" s="22" t="s">
        <v>87</v>
      </c>
      <c r="C125" s="23" t="s">
        <v>81</v>
      </c>
      <c r="D125" s="48" t="n">
        <v>0.053</v>
      </c>
      <c r="E125" s="44" t="n">
        <v>0.048</v>
      </c>
      <c r="F125" s="43" t="n">
        <v>0.048</v>
      </c>
    </row>
    <row r="126" customFormat="false" ht="35.25" hidden="false" customHeight="true" outlineLevel="0" collapsed="false">
      <c r="A126" s="21" t="s">
        <v>88</v>
      </c>
      <c r="B126" s="50" t="s">
        <v>89</v>
      </c>
      <c r="C126" s="23" t="s">
        <v>90</v>
      </c>
      <c r="D126" s="37" t="n">
        <f aca="false">D128+D129</f>
        <v>1149798</v>
      </c>
      <c r="E126" s="51" t="n">
        <f aca="false">E128+E129</f>
        <v>1161675</v>
      </c>
      <c r="F126" s="37" t="n">
        <f aca="false">F128+F129</f>
        <v>1175072</v>
      </c>
    </row>
    <row r="127" customFormat="false" ht="24.75" hidden="false" customHeight="true" outlineLevel="0" collapsed="false">
      <c r="A127" s="28"/>
      <c r="B127" s="22" t="s">
        <v>37</v>
      </c>
      <c r="C127" s="29"/>
      <c r="D127" s="37"/>
      <c r="E127" s="51"/>
      <c r="F127" s="37"/>
    </row>
    <row r="128" customFormat="false" ht="33" hidden="false" customHeight="true" outlineLevel="0" collapsed="false">
      <c r="A128" s="21" t="s">
        <v>91</v>
      </c>
      <c r="B128" s="50" t="s">
        <v>92</v>
      </c>
      <c r="C128" s="23" t="s">
        <v>90</v>
      </c>
      <c r="D128" s="37" t="n">
        <f aca="false">1050267+13216</f>
        <v>1063483</v>
      </c>
      <c r="E128" s="51" t="n">
        <f aca="false">1061321+16999</f>
        <v>1078320</v>
      </c>
      <c r="F128" s="37" t="n">
        <f aca="false">1072711+17339</f>
        <v>1090050</v>
      </c>
    </row>
    <row r="129" customFormat="false" ht="78.75" hidden="false" customHeight="true" outlineLevel="0" collapsed="false">
      <c r="A129" s="21" t="s">
        <v>93</v>
      </c>
      <c r="B129" s="50" t="s">
        <v>94</v>
      </c>
      <c r="C129" s="23" t="s">
        <v>90</v>
      </c>
      <c r="D129" s="37" t="n">
        <f aca="false">D130+D131+D132+D133</f>
        <v>86315</v>
      </c>
      <c r="E129" s="51" t="n">
        <f aca="false">E130+E131+E132+E133</f>
        <v>83355</v>
      </c>
      <c r="F129" s="37" t="n">
        <f aca="false">F130+F131+F132+F133</f>
        <v>85022</v>
      </c>
    </row>
    <row r="130" customFormat="false" ht="24.75" hidden="false" customHeight="true" outlineLevel="0" collapsed="false">
      <c r="A130" s="28"/>
      <c r="B130" s="52" t="s">
        <v>179</v>
      </c>
      <c r="C130" s="53" t="s">
        <v>90</v>
      </c>
      <c r="D130" s="37" t="n">
        <v>59508</v>
      </c>
      <c r="E130" s="51" t="n">
        <v>62031</v>
      </c>
      <c r="F130" s="37" t="n">
        <v>63527</v>
      </c>
    </row>
    <row r="131" customFormat="false" ht="26.25" hidden="false" customHeight="true" outlineLevel="0" collapsed="false">
      <c r="A131" s="28"/>
      <c r="B131" s="52" t="s">
        <v>180</v>
      </c>
      <c r="C131" s="53" t="s">
        <v>90</v>
      </c>
      <c r="D131" s="37" t="n">
        <v>18272</v>
      </c>
      <c r="E131" s="51" t="n">
        <v>18272</v>
      </c>
      <c r="F131" s="37" t="n">
        <v>18455</v>
      </c>
    </row>
    <row r="132" customFormat="false" ht="26.25" hidden="false" customHeight="true" outlineLevel="0" collapsed="false">
      <c r="A132" s="28"/>
      <c r="B132" s="52" t="s">
        <v>73</v>
      </c>
      <c r="C132" s="53" t="s">
        <v>90</v>
      </c>
      <c r="D132" s="37" t="n">
        <v>7318</v>
      </c>
      <c r="E132" s="51" t="n">
        <v>2803</v>
      </c>
      <c r="F132" s="37" t="n">
        <v>2795</v>
      </c>
    </row>
    <row r="133" customFormat="false" ht="25.5" hidden="false" customHeight="true" outlineLevel="0" collapsed="false">
      <c r="A133" s="28"/>
      <c r="B133" s="52" t="s">
        <v>74</v>
      </c>
      <c r="C133" s="53" t="s">
        <v>90</v>
      </c>
      <c r="D133" s="37" t="n">
        <v>1217</v>
      </c>
      <c r="E133" s="51" t="n">
        <v>249</v>
      </c>
      <c r="F133" s="37" t="n">
        <v>245</v>
      </c>
    </row>
    <row r="134" customFormat="false" ht="27.75" hidden="false" customHeight="true" outlineLevel="0" collapsed="false">
      <c r="A134" s="21" t="s">
        <v>95</v>
      </c>
      <c r="B134" s="52" t="s">
        <v>96</v>
      </c>
      <c r="C134" s="53" t="s">
        <v>90</v>
      </c>
      <c r="D134" s="37" t="s">
        <v>97</v>
      </c>
      <c r="E134" s="51" t="s">
        <v>97</v>
      </c>
      <c r="F134" s="37" t="s">
        <v>97</v>
      </c>
    </row>
    <row r="135" customFormat="false" ht="32.25" hidden="false" customHeight="true" outlineLevel="0" collapsed="false">
      <c r="A135" s="21" t="s">
        <v>98</v>
      </c>
      <c r="B135" s="22" t="s">
        <v>99</v>
      </c>
      <c r="C135" s="23" t="s">
        <v>100</v>
      </c>
      <c r="D135" s="51" t="n">
        <v>2123983</v>
      </c>
      <c r="E135" s="51" t="n">
        <v>2086413.22</v>
      </c>
      <c r="F135" s="37" t="n">
        <v>2781809.23686103</v>
      </c>
    </row>
    <row r="136" customFormat="false" ht="42.75" hidden="false" customHeight="false" outlineLevel="0" collapsed="false">
      <c r="A136" s="21" t="s">
        <v>101</v>
      </c>
      <c r="B136" s="50" t="s">
        <v>102</v>
      </c>
      <c r="C136" s="54"/>
      <c r="D136" s="55"/>
      <c r="E136" s="56"/>
      <c r="F136" s="55"/>
    </row>
    <row r="137" customFormat="false" ht="28.5" hidden="false" customHeight="false" outlineLevel="0" collapsed="false">
      <c r="A137" s="21" t="s">
        <v>103</v>
      </c>
      <c r="B137" s="22" t="s">
        <v>104</v>
      </c>
      <c r="C137" s="23" t="s">
        <v>105</v>
      </c>
      <c r="D137" s="51" t="n">
        <v>1078</v>
      </c>
      <c r="E137" s="51" t="n">
        <v>1125</v>
      </c>
      <c r="F137" s="37" t="n">
        <v>1125</v>
      </c>
    </row>
    <row r="138" customFormat="false" ht="48" hidden="false" customHeight="true" outlineLevel="0" collapsed="false">
      <c r="A138" s="57" t="s">
        <v>106</v>
      </c>
      <c r="B138" s="22" t="s">
        <v>107</v>
      </c>
      <c r="C138" s="23" t="s">
        <v>108</v>
      </c>
      <c r="D138" s="119" t="n">
        <v>55.9386</v>
      </c>
      <c r="E138" s="120" t="n">
        <v>56.6352</v>
      </c>
      <c r="F138" s="119" t="n">
        <v>58.89956</v>
      </c>
    </row>
    <row r="139" customFormat="false" ht="47.25" hidden="false" customHeight="true" outlineLevel="0" collapsed="false">
      <c r="A139" s="21" t="s">
        <v>109</v>
      </c>
      <c r="B139" s="50" t="s">
        <v>110</v>
      </c>
      <c r="C139" s="54"/>
      <c r="D139" s="37" t="s">
        <v>97</v>
      </c>
      <c r="E139" s="51" t="s">
        <v>97</v>
      </c>
      <c r="F139" s="37" t="s">
        <v>97</v>
      </c>
    </row>
    <row r="140" customFormat="false" ht="31.5" hidden="false" customHeight="true" outlineLevel="0" collapsed="false">
      <c r="A140" s="21" t="s">
        <v>111</v>
      </c>
      <c r="B140" s="22" t="s">
        <v>112</v>
      </c>
      <c r="C140" s="23" t="s">
        <v>100</v>
      </c>
      <c r="D140" s="37" t="n">
        <v>17003</v>
      </c>
      <c r="E140" s="51" t="n">
        <v>437487.48</v>
      </c>
      <c r="F140" s="37" t="n">
        <v>383877</v>
      </c>
    </row>
    <row r="141" customFormat="false" ht="32.25" hidden="false" customHeight="true" outlineLevel="0" collapsed="false">
      <c r="A141" s="21" t="s">
        <v>113</v>
      </c>
      <c r="B141" s="22" t="s">
        <v>114</v>
      </c>
      <c r="C141" s="23" t="s">
        <v>100</v>
      </c>
      <c r="D141" s="37" t="n">
        <v>408544</v>
      </c>
      <c r="E141" s="51" t="n">
        <v>598717.44</v>
      </c>
      <c r="F141" s="37" t="n">
        <v>569000</v>
      </c>
    </row>
    <row r="142" customFormat="false" ht="33.75" hidden="false" customHeight="true" outlineLevel="0" collapsed="false">
      <c r="A142" s="21" t="s">
        <v>115</v>
      </c>
      <c r="B142" s="22" t="s">
        <v>116</v>
      </c>
      <c r="C142" s="23" t="s">
        <v>100</v>
      </c>
      <c r="D142" s="37" t="n">
        <v>220495</v>
      </c>
      <c r="E142" s="51" t="n">
        <v>274452.94</v>
      </c>
      <c r="F142" s="37" t="n">
        <v>306644</v>
      </c>
    </row>
    <row r="143" customFormat="false" ht="31.5" hidden="false" customHeight="true" outlineLevel="0" collapsed="false">
      <c r="A143" s="21" t="s">
        <v>117</v>
      </c>
      <c r="B143" s="22" t="s">
        <v>118</v>
      </c>
      <c r="C143" s="23" t="s">
        <v>100</v>
      </c>
      <c r="D143" s="37" t="n">
        <v>407404.4</v>
      </c>
      <c r="E143" s="51" t="s">
        <v>97</v>
      </c>
      <c r="F143" s="37" t="s">
        <v>97</v>
      </c>
    </row>
    <row r="144" customFormat="false" ht="51" hidden="false" customHeight="true" outlineLevel="0" collapsed="false">
      <c r="A144" s="21" t="s">
        <v>119</v>
      </c>
      <c r="B144" s="22" t="s">
        <v>120</v>
      </c>
      <c r="C144" s="23" t="s">
        <v>121</v>
      </c>
      <c r="D144" s="60" t="n">
        <f aca="false">D143/D135*100%</f>
        <v>0.191811516382193</v>
      </c>
      <c r="E144" s="60" t="n">
        <f aca="false">E142/E135*100%</f>
        <v>0.131542945265655</v>
      </c>
      <c r="F144" s="60" t="n">
        <f aca="false">F142/F135*100%</f>
        <v>0.110231857719336</v>
      </c>
    </row>
    <row r="145" customFormat="false" ht="110.25" hidden="false" customHeight="true" outlineLevel="0" collapsed="false">
      <c r="A145" s="61" t="s">
        <v>122</v>
      </c>
      <c r="B145" s="62" t="s">
        <v>123</v>
      </c>
      <c r="C145" s="63"/>
      <c r="D145" s="121" t="s">
        <v>181</v>
      </c>
      <c r="E145" s="121" t="s">
        <v>182</v>
      </c>
      <c r="F145" s="121" t="s">
        <v>182</v>
      </c>
    </row>
    <row r="146" customFormat="false" ht="14.25" hidden="false" customHeight="false" outlineLevel="0" collapsed="false">
      <c r="A146" s="6"/>
    </row>
    <row r="147" customFormat="false" ht="14.25" hidden="false" customHeight="false" outlineLevel="0" collapsed="false">
      <c r="A147" s="67" t="s">
        <v>126</v>
      </c>
      <c r="B147" s="67"/>
      <c r="C147" s="67"/>
      <c r="D147" s="68"/>
      <c r="E147" s="68"/>
      <c r="F147" s="68"/>
      <c r="G147" s="67"/>
    </row>
    <row r="148" customFormat="false" ht="14.25" hidden="false" customHeight="false" outlineLevel="0" collapsed="false">
      <c r="A148" s="69"/>
      <c r="B148" s="69"/>
      <c r="C148" s="69"/>
      <c r="D148" s="69"/>
    </row>
    <row r="149" customFormat="false" ht="15" hidden="false" customHeight="false" outlineLevel="0" collapsed="false">
      <c r="A149" s="13"/>
    </row>
    <row r="150" customFormat="false" ht="15" hidden="false" customHeight="false" outlineLevel="0" collapsed="false">
      <c r="A150" s="13"/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customFormat="false" ht="15" hidden="false" customHeight="false" outlineLevel="0" collapsed="false">
      <c r="A154" s="13"/>
      <c r="H154" s="14" t="s">
        <v>127</v>
      </c>
    </row>
    <row r="155" customFormat="false" ht="15" hidden="false" customHeight="false" outlineLevel="0" collapsed="false">
      <c r="A155" s="13"/>
      <c r="H155" s="15" t="s">
        <v>27</v>
      </c>
    </row>
    <row r="156" customFormat="false" ht="15" hidden="false" customHeight="false" outlineLevel="0" collapsed="false">
      <c r="A156" s="13"/>
    </row>
    <row r="157" customFormat="false" ht="15" hidden="false" customHeight="false" outlineLevel="0" collapsed="false">
      <c r="A157" s="13"/>
    </row>
    <row r="158" customFormat="false" ht="15" hidden="false" customHeight="false" outlineLevel="0" collapsed="false">
      <c r="A158" s="13"/>
    </row>
    <row r="159" s="1" customFormat="true" ht="15.75" hidden="false" customHeight="false" outlineLevel="0" collapsed="false">
      <c r="A159" s="70" t="s">
        <v>128</v>
      </c>
      <c r="B159" s="70"/>
      <c r="C159" s="70"/>
      <c r="D159" s="70"/>
      <c r="E159" s="70"/>
    </row>
    <row r="160" customFormat="false" ht="51.75" hidden="false" customHeight="true" outlineLevel="0" collapsed="false">
      <c r="A160" s="16" t="s">
        <v>28</v>
      </c>
      <c r="B160" s="16" t="s">
        <v>29</v>
      </c>
      <c r="C160" s="16" t="s">
        <v>30</v>
      </c>
      <c r="D160" s="18" t="s">
        <v>129</v>
      </c>
      <c r="E160" s="18"/>
      <c r="F160" s="18" t="s">
        <v>177</v>
      </c>
      <c r="G160" s="18"/>
      <c r="H160" s="16" t="s">
        <v>130</v>
      </c>
      <c r="I160" s="16"/>
    </row>
    <row r="161" customFormat="false" ht="32.25" hidden="false" customHeight="true" outlineLevel="0" collapsed="false">
      <c r="A161" s="16"/>
      <c r="B161" s="16"/>
      <c r="C161" s="16"/>
      <c r="D161" s="71" t="s">
        <v>131</v>
      </c>
      <c r="E161" s="71" t="s">
        <v>132</v>
      </c>
      <c r="F161" s="18" t="s">
        <v>131</v>
      </c>
      <c r="G161" s="18" t="s">
        <v>132</v>
      </c>
      <c r="H161" s="72" t="s">
        <v>131</v>
      </c>
      <c r="I161" s="16" t="s">
        <v>132</v>
      </c>
    </row>
    <row r="162" customFormat="false" ht="14.25" hidden="false" customHeight="false" outlineLevel="0" collapsed="false">
      <c r="A162" s="73"/>
      <c r="B162" s="50"/>
      <c r="C162" s="74"/>
      <c r="D162" s="75"/>
      <c r="E162" s="76"/>
      <c r="F162" s="76"/>
      <c r="G162" s="75"/>
      <c r="H162" s="77"/>
      <c r="I162" s="74"/>
    </row>
    <row r="163" customFormat="false" ht="21" hidden="false" customHeight="true" outlineLevel="0" collapsed="false">
      <c r="A163" s="73" t="s">
        <v>88</v>
      </c>
      <c r="B163" s="50" t="s">
        <v>133</v>
      </c>
      <c r="C163" s="74"/>
      <c r="D163" s="75"/>
      <c r="E163" s="76"/>
      <c r="F163" s="76"/>
      <c r="G163" s="75"/>
      <c r="H163" s="77"/>
      <c r="I163" s="74"/>
    </row>
    <row r="164" customFormat="false" ht="60.75" hidden="false" customHeight="true" outlineLevel="0" collapsed="false">
      <c r="A164" s="73" t="s">
        <v>91</v>
      </c>
      <c r="B164" s="50" t="s">
        <v>183</v>
      </c>
      <c r="C164" s="50"/>
      <c r="D164" s="78" t="n">
        <v>151.95</v>
      </c>
      <c r="E164" s="78" t="n">
        <v>139.38</v>
      </c>
      <c r="F164" s="122" t="n">
        <f aca="false">138.39</f>
        <v>138.39</v>
      </c>
      <c r="G164" s="78" t="n">
        <f aca="false">210.33</f>
        <v>210.33</v>
      </c>
      <c r="H164" s="78" t="n">
        <v>210.33</v>
      </c>
      <c r="I164" s="79" t="n">
        <f aca="false">362.09*1.18</f>
        <v>427.2662</v>
      </c>
    </row>
    <row r="165" customFormat="false" ht="78" hidden="false" customHeight="true" outlineLevel="0" collapsed="false">
      <c r="A165" s="73" t="s">
        <v>93</v>
      </c>
      <c r="B165" s="50" t="s">
        <v>184</v>
      </c>
      <c r="C165" s="50"/>
      <c r="D165" s="21" t="n">
        <v>76.4</v>
      </c>
      <c r="E165" s="21" t="n">
        <v>76.4</v>
      </c>
      <c r="F165" s="21" t="n">
        <v>76.4</v>
      </c>
      <c r="G165" s="21" t="n">
        <v>176.47</v>
      </c>
      <c r="H165" s="21" t="n">
        <v>176.47</v>
      </c>
      <c r="I165" s="79" t="n">
        <v>285.6</v>
      </c>
    </row>
    <row r="166" customFormat="false" ht="33.75" hidden="false" customHeight="true" outlineLevel="0" collapsed="false">
      <c r="A166" s="73" t="s">
        <v>137</v>
      </c>
      <c r="B166" s="50" t="s">
        <v>185</v>
      </c>
      <c r="C166" s="73" t="s">
        <v>121</v>
      </c>
      <c r="D166" s="75"/>
      <c r="E166" s="76"/>
      <c r="F166" s="76"/>
      <c r="G166" s="75"/>
      <c r="H166" s="77"/>
      <c r="I166" s="74"/>
    </row>
    <row r="167" customFormat="false" ht="25.5" hidden="false" customHeight="true" outlineLevel="0" collapsed="false">
      <c r="A167" s="74"/>
      <c r="B167" s="50" t="s">
        <v>179</v>
      </c>
      <c r="C167" s="73" t="s">
        <v>121</v>
      </c>
      <c r="D167" s="80" t="n">
        <v>18.22</v>
      </c>
      <c r="E167" s="80" t="n">
        <v>18.22</v>
      </c>
      <c r="F167" s="80" t="n">
        <v>18.22</v>
      </c>
      <c r="G167" s="80" t="s">
        <v>97</v>
      </c>
      <c r="H167" s="80" t="s">
        <v>97</v>
      </c>
      <c r="I167" s="80" t="s">
        <v>97</v>
      </c>
    </row>
    <row r="168" customFormat="false" ht="23.25" hidden="false" customHeight="true" outlineLevel="0" collapsed="false">
      <c r="A168" s="74"/>
      <c r="B168" s="50" t="s">
        <v>180</v>
      </c>
      <c r="C168" s="73" t="s">
        <v>121</v>
      </c>
      <c r="D168" s="80" t="n">
        <v>17.32</v>
      </c>
      <c r="E168" s="80" t="n">
        <v>17.32</v>
      </c>
      <c r="F168" s="80" t="n">
        <v>17.32</v>
      </c>
      <c r="G168" s="80" t="s">
        <v>97</v>
      </c>
      <c r="H168" s="80" t="s">
        <v>97</v>
      </c>
      <c r="I168" s="80" t="s">
        <v>97</v>
      </c>
    </row>
    <row r="169" customFormat="false" ht="21.75" hidden="false" customHeight="true" outlineLevel="0" collapsed="false">
      <c r="A169" s="74"/>
      <c r="B169" s="50" t="s">
        <v>73</v>
      </c>
      <c r="C169" s="73" t="s">
        <v>121</v>
      </c>
      <c r="D169" s="80" t="n">
        <v>10.98</v>
      </c>
      <c r="E169" s="80" t="n">
        <v>10.98</v>
      </c>
      <c r="F169" s="80" t="n">
        <v>10.98</v>
      </c>
      <c r="G169" s="80" t="s">
        <v>97</v>
      </c>
      <c r="H169" s="80" t="s">
        <v>97</v>
      </c>
      <c r="I169" s="80" t="s">
        <v>97</v>
      </c>
    </row>
    <row r="170" customFormat="false" ht="23.25" hidden="false" customHeight="true" outlineLevel="0" collapsed="false">
      <c r="A170" s="81"/>
      <c r="B170" s="82" t="s">
        <v>74</v>
      </c>
      <c r="C170" s="83" t="s">
        <v>121</v>
      </c>
      <c r="D170" s="84" t="n">
        <v>5.98</v>
      </c>
      <c r="E170" s="84" t="n">
        <v>5.98</v>
      </c>
      <c r="F170" s="84" t="n">
        <v>5.98</v>
      </c>
      <c r="G170" s="84" t="s">
        <v>97</v>
      </c>
      <c r="H170" s="84" t="s">
        <v>97</v>
      </c>
      <c r="I170" s="84" t="s">
        <v>97</v>
      </c>
    </row>
    <row r="171" customFormat="false" ht="14.25" hidden="false" customHeight="false" outlineLevel="0" collapsed="false">
      <c r="A171" s="5"/>
      <c r="B171" s="5"/>
      <c r="C171" s="5"/>
      <c r="D171" s="5"/>
      <c r="E171" s="5"/>
      <c r="F171" s="5"/>
    </row>
    <row r="172" customFormat="false" ht="14.25" hidden="false" customHeight="false" outlineLevel="0" collapsed="false">
      <c r="A172" s="67" t="s">
        <v>126</v>
      </c>
      <c r="B172" s="67"/>
      <c r="C172" s="67"/>
      <c r="D172" s="68"/>
      <c r="E172" s="68"/>
      <c r="F172" s="68"/>
    </row>
  </sheetData>
  <mergeCells count="28">
    <mergeCell ref="A1:E1"/>
    <mergeCell ref="A2:E2"/>
    <mergeCell ref="A3:E3"/>
    <mergeCell ref="A4:E4"/>
    <mergeCell ref="A5:E5"/>
    <mergeCell ref="A6:E6"/>
    <mergeCell ref="A7:E7"/>
    <mergeCell ref="A16:E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E46"/>
    <mergeCell ref="A148:D148"/>
    <mergeCell ref="A159:E159"/>
    <mergeCell ref="A160:A161"/>
    <mergeCell ref="B160:B161"/>
    <mergeCell ref="C160:C161"/>
    <mergeCell ref="D160:E160"/>
    <mergeCell ref="F160:G160"/>
    <mergeCell ref="H160:I160"/>
    <mergeCell ref="A171:F171"/>
  </mergeCells>
  <hyperlinks>
    <hyperlink ref="C32" r:id="rId1" display="kanz@es.krasnoyarsk.ru"/>
    <hyperlink ref="H47" location="sub_10000" display="к предложению о размере цен"/>
    <hyperlink ref="H155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2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I49" activeCellId="0" sqref="I49"/>
    </sheetView>
  </sheetViews>
  <sheetFormatPr defaultRowHeight="14.2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43.29"/>
    <col collapsed="false" customWidth="true" hidden="false" outlineLevel="0" max="3" min="3" style="1" width="12.86"/>
    <col collapsed="false" customWidth="true" hidden="false" outlineLevel="0" max="4" min="4" style="1" width="14.57"/>
    <col collapsed="false" customWidth="true" hidden="false" outlineLevel="0" max="6" min="5" style="1" width="15.29"/>
    <col collapsed="false" customWidth="true" hidden="false" outlineLevel="0" max="7" min="7" style="1" width="13.14"/>
    <col collapsed="false" customWidth="true" hidden="false" outlineLevel="0" max="8" min="8" style="1" width="11.57"/>
    <col collapsed="false" customWidth="true" hidden="false" outlineLevel="0" max="9" min="9" style="1" width="13.43"/>
    <col collapsed="false" customWidth="true" hidden="false" outlineLevel="0" max="1025" min="10" style="1" width="9.13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</row>
    <row r="2" customFormat="false" ht="15" hidden="false" customHeight="false" outlineLevel="0" collapsed="false">
      <c r="A2" s="4" t="s">
        <v>1</v>
      </c>
      <c r="B2" s="4"/>
      <c r="C2" s="4"/>
      <c r="D2" s="4"/>
      <c r="E2" s="4"/>
      <c r="F2" s="4"/>
    </row>
    <row r="3" customFormat="false" ht="15" hidden="false" customHeight="false" outlineLevel="0" collapsed="false">
      <c r="A3" s="4" t="s">
        <v>186</v>
      </c>
      <c r="B3" s="4"/>
      <c r="C3" s="4"/>
      <c r="D3" s="4"/>
      <c r="E3" s="4"/>
      <c r="F3" s="4"/>
    </row>
    <row r="4" customFormat="false" ht="15" hidden="false" customHeight="false" outlineLevel="0" collapsed="false">
      <c r="A4" s="4" t="s">
        <v>3</v>
      </c>
      <c r="B4" s="4"/>
      <c r="C4" s="4"/>
      <c r="D4" s="4"/>
      <c r="E4" s="4"/>
      <c r="F4" s="4"/>
    </row>
    <row r="5" customFormat="false" ht="23.25" hidden="false" customHeight="true" outlineLevel="0" collapsed="false">
      <c r="A5" s="5" t="s">
        <v>187</v>
      </c>
      <c r="B5" s="5"/>
      <c r="C5" s="5"/>
      <c r="D5" s="5"/>
      <c r="E5" s="5"/>
      <c r="F5" s="5"/>
    </row>
    <row r="6" customFormat="false" ht="14.25" hidden="false" customHeight="false" outlineLevel="0" collapsed="false">
      <c r="A6" s="5" t="s">
        <v>5</v>
      </c>
      <c r="B6" s="5"/>
      <c r="C6" s="5"/>
      <c r="D6" s="5"/>
      <c r="E6" s="5"/>
      <c r="F6" s="5"/>
    </row>
    <row r="7" customFormat="false" ht="22.5" hidden="false" customHeight="true" outlineLevel="0" collapsed="false">
      <c r="A7" s="5" t="s">
        <v>188</v>
      </c>
      <c r="B7" s="5"/>
      <c r="C7" s="5"/>
      <c r="D7" s="5"/>
      <c r="E7" s="5"/>
      <c r="F7" s="5"/>
    </row>
    <row r="8" customFormat="false" ht="14.25" hidden="false" customHeight="false" outlineLevel="0" collapsed="false">
      <c r="A8" s="6"/>
    </row>
    <row r="9" customFormat="false" ht="14.25" hidden="false" customHeight="false" outlineLevel="0" collapsed="false">
      <c r="A9" s="6"/>
    </row>
    <row r="11" customFormat="false" ht="15" hidden="false" customHeight="false" outlineLevel="0" collapsed="false">
      <c r="A11" s="7"/>
      <c r="C11" s="7"/>
      <c r="D11" s="7"/>
      <c r="E11" s="14" t="s">
        <v>189</v>
      </c>
    </row>
    <row r="12" customFormat="false" ht="15" hidden="false" customHeight="false" outlineLevel="0" collapsed="false">
      <c r="A12" s="8"/>
      <c r="C12" s="8"/>
      <c r="D12" s="8"/>
      <c r="E12" s="15" t="s">
        <v>27</v>
      </c>
    </row>
    <row r="13" customFormat="false" ht="15" hidden="false" customHeight="false" outlineLevel="0" collapsed="false">
      <c r="A13" s="7"/>
      <c r="C13" s="7"/>
      <c r="D13" s="7"/>
      <c r="E13" s="14" t="s">
        <v>190</v>
      </c>
    </row>
    <row r="14" customFormat="false" ht="15" hidden="false" customHeight="false" outlineLevel="0" collapsed="false">
      <c r="A14" s="7"/>
      <c r="C14" s="7"/>
      <c r="D14" s="7"/>
      <c r="E14" s="14" t="s">
        <v>191</v>
      </c>
    </row>
    <row r="16" customFormat="false" ht="15" hidden="false" customHeight="false" outlineLevel="0" collapsed="false">
      <c r="A16" s="4" t="s">
        <v>7</v>
      </c>
      <c r="B16" s="4"/>
      <c r="C16" s="4"/>
      <c r="D16" s="4"/>
      <c r="E16" s="4"/>
      <c r="F16" s="4"/>
    </row>
    <row r="17" customFormat="false" ht="14.25" hidden="false" customHeight="false" outlineLevel="0" collapsed="false">
      <c r="A17" s="6"/>
    </row>
    <row r="18" customFormat="false" ht="14.25" hidden="false" customHeight="false" outlineLevel="0" collapsed="false">
      <c r="A18" s="5" t="s">
        <v>8</v>
      </c>
      <c r="B18" s="5"/>
      <c r="C18" s="9" t="s">
        <v>192</v>
      </c>
    </row>
    <row r="19" customFormat="false" ht="14.25" hidden="false" customHeight="false" outlineLevel="0" collapsed="false">
      <c r="A19" s="6"/>
    </row>
    <row r="20" customFormat="false" ht="14.25" hidden="false" customHeight="false" outlineLevel="0" collapsed="false">
      <c r="A20" s="5" t="s">
        <v>10</v>
      </c>
      <c r="B20" s="5"/>
      <c r="C20" s="10" t="s">
        <v>193</v>
      </c>
    </row>
    <row r="21" customFormat="false" ht="14.25" hidden="false" customHeight="false" outlineLevel="0" collapsed="false">
      <c r="A21" s="6"/>
    </row>
    <row r="22" customFormat="false" ht="14.25" hidden="false" customHeight="false" outlineLevel="0" collapsed="false">
      <c r="A22" s="5" t="s">
        <v>12</v>
      </c>
      <c r="B22" s="5"/>
      <c r="C22" s="9" t="s">
        <v>13</v>
      </c>
    </row>
    <row r="23" customFormat="false" ht="14.25" hidden="false" customHeight="false" outlineLevel="0" collapsed="false">
      <c r="A23" s="6"/>
    </row>
    <row r="24" customFormat="false" ht="14.25" hidden="false" customHeight="false" outlineLevel="0" collapsed="false">
      <c r="A24" s="5" t="s">
        <v>14</v>
      </c>
      <c r="B24" s="5"/>
      <c r="C24" s="9" t="s">
        <v>13</v>
      </c>
    </row>
    <row r="25" customFormat="false" ht="14.25" hidden="false" customHeight="false" outlineLevel="0" collapsed="false">
      <c r="A25" s="6"/>
    </row>
    <row r="26" customFormat="false" ht="14.25" hidden="false" customHeight="false" outlineLevel="0" collapsed="false">
      <c r="A26" s="5" t="s">
        <v>15</v>
      </c>
      <c r="B26" s="5"/>
      <c r="C26" s="11" t="n">
        <v>2466132221</v>
      </c>
    </row>
    <row r="27" customFormat="false" ht="14.25" hidden="false" customHeight="false" outlineLevel="0" collapsed="false">
      <c r="A27" s="6"/>
    </row>
    <row r="28" customFormat="false" ht="14.25" hidden="false" customHeight="false" outlineLevel="0" collapsed="false">
      <c r="A28" s="5" t="s">
        <v>16</v>
      </c>
      <c r="B28" s="5"/>
      <c r="C28" s="10" t="n">
        <v>246750001</v>
      </c>
    </row>
    <row r="29" customFormat="false" ht="14.25" hidden="false" customHeight="false" outlineLevel="0" collapsed="false">
      <c r="A29" s="6"/>
    </row>
    <row r="30" customFormat="false" ht="14.25" hidden="false" customHeight="false" outlineLevel="0" collapsed="false">
      <c r="A30" s="5" t="s">
        <v>17</v>
      </c>
      <c r="B30" s="5"/>
      <c r="C30" s="9" t="s">
        <v>18</v>
      </c>
    </row>
    <row r="31" customFormat="false" ht="14.25" hidden="false" customHeight="false" outlineLevel="0" collapsed="false">
      <c r="A31" s="6"/>
    </row>
    <row r="32" customFormat="false" ht="15" hidden="false" customHeight="false" outlineLevel="0" collapsed="false">
      <c r="A32" s="5" t="s">
        <v>19</v>
      </c>
      <c r="B32" s="5"/>
      <c r="C32" s="12" t="s">
        <v>20</v>
      </c>
    </row>
    <row r="33" customFormat="false" ht="14.25" hidden="false" customHeight="false" outlineLevel="0" collapsed="false">
      <c r="A33" s="6"/>
    </row>
    <row r="34" customFormat="false" ht="14.25" hidden="false" customHeight="false" outlineLevel="0" collapsed="false">
      <c r="A34" s="5" t="s">
        <v>21</v>
      </c>
      <c r="B34" s="5"/>
      <c r="C34" s="9" t="s">
        <v>22</v>
      </c>
    </row>
    <row r="35" customFormat="false" ht="14.25" hidden="false" customHeight="false" outlineLevel="0" collapsed="false">
      <c r="A35" s="6"/>
    </row>
    <row r="36" customFormat="false" ht="14.25" hidden="false" customHeight="false" outlineLevel="0" collapsed="false">
      <c r="A36" s="5" t="s">
        <v>23</v>
      </c>
      <c r="B36" s="5"/>
      <c r="C36" s="9" t="s">
        <v>170</v>
      </c>
    </row>
    <row r="37" customFormat="false" ht="14.25" hidden="false" customHeight="false" outlineLevel="0" collapsed="false">
      <c r="A37" s="6"/>
    </row>
    <row r="38" customFormat="false" ht="14.25" hidden="false" customHeight="false" outlineLevel="0" collapsed="false">
      <c r="A38" s="6"/>
    </row>
    <row r="39" customFormat="false" ht="14.25" hidden="false" customHeight="false" outlineLevel="0" collapsed="false">
      <c r="A39" s="6"/>
    </row>
    <row r="40" customFormat="false" ht="14.25" hidden="false" customHeight="false" outlineLevel="0" collapsed="false">
      <c r="A40" s="6"/>
    </row>
    <row r="41" customFormat="false" ht="15" hidden="false" customHeight="false" outlineLevel="0" collapsed="false">
      <c r="A41" s="13"/>
    </row>
    <row r="42" customFormat="false" ht="15" hidden="false" customHeight="false" outlineLevel="0" collapsed="false">
      <c r="A42" s="13"/>
    </row>
    <row r="43" customFormat="false" ht="15" hidden="false" customHeight="false" outlineLevel="0" collapsed="false">
      <c r="A43" s="13"/>
    </row>
    <row r="44" customFormat="false" ht="15" hidden="false" customHeight="false" outlineLevel="0" collapsed="false">
      <c r="A44" s="13"/>
    </row>
    <row r="45" customFormat="false" ht="14.25" hidden="false" customHeight="false" outlineLevel="0" collapsed="false">
      <c r="A45" s="6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4"/>
      <c r="I46" s="14"/>
      <c r="J46" s="14" t="s">
        <v>26</v>
      </c>
    </row>
    <row r="47" customFormat="false" ht="15" hidden="false" customHeight="false" outlineLevel="0" collapsed="false">
      <c r="A47" s="6"/>
      <c r="I47" s="15"/>
      <c r="J47" s="15" t="s">
        <v>27</v>
      </c>
    </row>
    <row r="48" customFormat="false" ht="89.25" hidden="false" customHeight="true" outlineLevel="0" collapsed="false">
      <c r="A48" s="16" t="s">
        <v>28</v>
      </c>
      <c r="B48" s="16" t="s">
        <v>29</v>
      </c>
      <c r="C48" s="17" t="s">
        <v>30</v>
      </c>
      <c r="D48" s="16" t="s">
        <v>129</v>
      </c>
      <c r="E48" s="17" t="s">
        <v>194</v>
      </c>
      <c r="F48" s="16" t="s">
        <v>130</v>
      </c>
    </row>
    <row r="49" customFormat="false" ht="30.75" hidden="false" customHeight="true" outlineLevel="0" collapsed="false">
      <c r="A49" s="21" t="s">
        <v>34</v>
      </c>
      <c r="B49" s="22" t="s">
        <v>35</v>
      </c>
      <c r="C49" s="23"/>
      <c r="D49" s="123" t="n">
        <v>14766574.21</v>
      </c>
      <c r="E49" s="124" t="n">
        <v>15211480</v>
      </c>
      <c r="F49" s="125" t="n">
        <v>14534225</v>
      </c>
    </row>
    <row r="50" customFormat="false" ht="21.75" hidden="false" customHeight="true" outlineLevel="0" collapsed="false">
      <c r="A50" s="28"/>
      <c r="B50" s="22" t="s">
        <v>37</v>
      </c>
      <c r="C50" s="29"/>
      <c r="D50" s="28"/>
      <c r="E50" s="29"/>
      <c r="F50" s="28"/>
    </row>
    <row r="51" customFormat="false" ht="33" hidden="false" customHeight="true" outlineLevel="0" collapsed="false">
      <c r="A51" s="21" t="s">
        <v>38</v>
      </c>
      <c r="B51" s="22" t="s">
        <v>39</v>
      </c>
      <c r="C51" s="23" t="s">
        <v>36</v>
      </c>
      <c r="D51" s="123" t="n">
        <v>3227605.636</v>
      </c>
      <c r="E51" s="124" t="n">
        <v>3440510</v>
      </c>
      <c r="F51" s="123" t="n">
        <v>3440000</v>
      </c>
    </row>
    <row r="52" customFormat="false" ht="24" hidden="false" customHeight="true" outlineLevel="0" collapsed="false">
      <c r="A52" s="21" t="s">
        <v>40</v>
      </c>
      <c r="B52" s="22" t="s">
        <v>41</v>
      </c>
      <c r="C52" s="23" t="s">
        <v>36</v>
      </c>
      <c r="D52" s="123" t="n">
        <f aca="false">D53+D54</f>
        <v>2083169.792</v>
      </c>
      <c r="E52" s="123" t="n">
        <f aca="false">E53+E54</f>
        <v>2408360</v>
      </c>
      <c r="F52" s="123" t="n">
        <f aca="false">F53+F54</f>
        <v>2405694</v>
      </c>
    </row>
    <row r="53" customFormat="false" ht="21" hidden="false" customHeight="true" outlineLevel="0" collapsed="false">
      <c r="A53" s="28"/>
      <c r="B53" s="22" t="s">
        <v>42</v>
      </c>
      <c r="C53" s="23" t="s">
        <v>36</v>
      </c>
      <c r="D53" s="123" t="n">
        <v>1070377.471</v>
      </c>
      <c r="E53" s="124" t="n">
        <v>1204430</v>
      </c>
      <c r="F53" s="123" t="n">
        <f aca="false">628416+994+168573+336839+88671+13976</f>
        <v>1237469</v>
      </c>
    </row>
    <row r="54" customFormat="false" ht="23.25" hidden="false" customHeight="true" outlineLevel="0" collapsed="false">
      <c r="A54" s="28"/>
      <c r="B54" s="22" t="s">
        <v>43</v>
      </c>
      <c r="C54" s="23" t="s">
        <v>36</v>
      </c>
      <c r="D54" s="123" t="n">
        <f aca="false">169594.417+173217.734+171443.306+173801.016+163497.375+161238.473</f>
        <v>1012792.321</v>
      </c>
      <c r="E54" s="124" t="n">
        <v>1203930</v>
      </c>
      <c r="F54" s="123" t="n">
        <f aca="false">593207+983+159140+317991+83710+13194</f>
        <v>1168225</v>
      </c>
    </row>
    <row r="55" customFormat="false" ht="22.5" hidden="false" customHeight="true" outlineLevel="0" collapsed="false">
      <c r="A55" s="21" t="s">
        <v>44</v>
      </c>
      <c r="B55" s="22" t="s">
        <v>45</v>
      </c>
      <c r="C55" s="23" t="s">
        <v>36</v>
      </c>
      <c r="D55" s="123" t="n">
        <f aca="false">D56+D57</f>
        <v>1144435.844</v>
      </c>
      <c r="E55" s="123" t="n">
        <f aca="false">E56+E57</f>
        <v>1032150</v>
      </c>
      <c r="F55" s="123" t="n">
        <f aca="false">F56+F57</f>
        <v>1034304</v>
      </c>
    </row>
    <row r="56" customFormat="false" ht="20.25" hidden="false" customHeight="true" outlineLevel="0" collapsed="false">
      <c r="A56" s="28"/>
      <c r="B56" s="22" t="s">
        <v>42</v>
      </c>
      <c r="C56" s="23" t="s">
        <v>36</v>
      </c>
      <c r="D56" s="123" t="n">
        <v>615443.214</v>
      </c>
      <c r="E56" s="124" t="n">
        <v>526200</v>
      </c>
      <c r="F56" s="123" t="n">
        <f aca="false">310657+605+52474+168301</f>
        <v>532037</v>
      </c>
    </row>
    <row r="57" customFormat="false" ht="21" hidden="false" customHeight="true" outlineLevel="0" collapsed="false">
      <c r="A57" s="28"/>
      <c r="B57" s="22" t="s">
        <v>43</v>
      </c>
      <c r="C57" s="23" t="s">
        <v>36</v>
      </c>
      <c r="D57" s="123" t="n">
        <f aca="false">105686.709+102794.258+90904.062+79144.729+77936.445+72526.427</f>
        <v>528992.63</v>
      </c>
      <c r="E57" s="124" t="n">
        <v>505950</v>
      </c>
      <c r="F57" s="123" t="n">
        <f aca="false">293272+573+49538+158884</f>
        <v>502267</v>
      </c>
    </row>
    <row r="58" customFormat="false" ht="19.5" hidden="false" customHeight="true" outlineLevel="0" collapsed="false">
      <c r="A58" s="28"/>
      <c r="B58" s="22" t="s">
        <v>37</v>
      </c>
      <c r="C58" s="23" t="s">
        <v>36</v>
      </c>
      <c r="D58" s="28"/>
      <c r="E58" s="29"/>
      <c r="F58" s="28"/>
    </row>
    <row r="59" customFormat="false" ht="73.5" hidden="false" customHeight="true" outlineLevel="0" collapsed="false">
      <c r="A59" s="21" t="s">
        <v>46</v>
      </c>
      <c r="B59" s="22" t="s">
        <v>47</v>
      </c>
      <c r="C59" s="23" t="s">
        <v>36</v>
      </c>
      <c r="D59" s="123" t="n">
        <f aca="false">D60+D63</f>
        <v>387755.844</v>
      </c>
      <c r="E59" s="123" t="n">
        <f aca="false">E60+E63</f>
        <v>438581.793760694</v>
      </c>
      <c r="F59" s="123" t="n">
        <f aca="false">F60+F63</f>
        <v>429725</v>
      </c>
    </row>
    <row r="60" customFormat="false" ht="24.75" hidden="false" customHeight="true" outlineLevel="0" collapsed="false">
      <c r="A60" s="21" t="s">
        <v>48</v>
      </c>
      <c r="B60" s="22" t="s">
        <v>41</v>
      </c>
      <c r="C60" s="23" t="s">
        <v>36</v>
      </c>
      <c r="D60" s="123" t="n">
        <f aca="false">D61+D62</f>
        <v>274288.128</v>
      </c>
      <c r="E60" s="123" t="n">
        <f aca="false">E61+E62</f>
        <v>335070.737220693</v>
      </c>
      <c r="F60" s="123" t="n">
        <f aca="false">F61+F62</f>
        <v>327713</v>
      </c>
    </row>
    <row r="61" customFormat="false" ht="19.5" hidden="false" customHeight="true" outlineLevel="0" collapsed="false">
      <c r="A61" s="28"/>
      <c r="B61" s="22" t="s">
        <v>42</v>
      </c>
      <c r="C61" s="23" t="s">
        <v>36</v>
      </c>
      <c r="D61" s="123" t="n">
        <v>143099.509</v>
      </c>
      <c r="E61" s="124" t="n">
        <v>167861.027220694</v>
      </c>
      <c r="F61" s="123" t="n">
        <v>168573</v>
      </c>
    </row>
    <row r="62" customFormat="false" ht="21" hidden="false" customHeight="true" outlineLevel="0" collapsed="false">
      <c r="A62" s="28"/>
      <c r="B62" s="22" t="s">
        <v>43</v>
      </c>
      <c r="C62" s="23" t="s">
        <v>36</v>
      </c>
      <c r="D62" s="123" t="n">
        <f aca="false">22299.08+22486.764+22143.923+21881.957+21724.759+20652.136</f>
        <v>131188.619</v>
      </c>
      <c r="E62" s="124" t="n">
        <v>167209.71</v>
      </c>
      <c r="F62" s="123" t="n">
        <v>159140</v>
      </c>
    </row>
    <row r="63" customFormat="false" ht="22.5" hidden="false" customHeight="true" outlineLevel="0" collapsed="false">
      <c r="A63" s="21" t="s">
        <v>49</v>
      </c>
      <c r="B63" s="22" t="s">
        <v>45</v>
      </c>
      <c r="C63" s="23" t="s">
        <v>36</v>
      </c>
      <c r="D63" s="123" t="n">
        <f aca="false">D64+D65</f>
        <v>113467.716</v>
      </c>
      <c r="E63" s="123" t="n">
        <f aca="false">E64+E65</f>
        <v>103511.05654</v>
      </c>
      <c r="F63" s="123" t="n">
        <f aca="false">F64+F65</f>
        <v>102012</v>
      </c>
    </row>
    <row r="64" customFormat="false" ht="20.25" hidden="false" customHeight="true" outlineLevel="0" collapsed="false">
      <c r="A64" s="28"/>
      <c r="B64" s="22" t="s">
        <v>42</v>
      </c>
      <c r="C64" s="23" t="s">
        <v>36</v>
      </c>
      <c r="D64" s="123" t="n">
        <v>61455.91</v>
      </c>
      <c r="E64" s="124" t="n">
        <v>51776.71564</v>
      </c>
      <c r="F64" s="123" t="n">
        <v>52474</v>
      </c>
    </row>
    <row r="65" customFormat="false" ht="21.75" hidden="false" customHeight="true" outlineLevel="0" collapsed="false">
      <c r="A65" s="28"/>
      <c r="B65" s="22" t="s">
        <v>43</v>
      </c>
      <c r="C65" s="23" t="s">
        <v>36</v>
      </c>
      <c r="D65" s="123" t="n">
        <f aca="false">10789.758+9226.796+9154.467+7709.744+7235.852+7895.189</f>
        <v>52011.806</v>
      </c>
      <c r="E65" s="124" t="n">
        <v>51734.3409</v>
      </c>
      <c r="F65" s="123" t="n">
        <v>49538</v>
      </c>
    </row>
    <row r="66" customFormat="false" ht="70.5" hidden="false" customHeight="true" outlineLevel="0" collapsed="false">
      <c r="A66" s="21" t="s">
        <v>50</v>
      </c>
      <c r="B66" s="22" t="s">
        <v>51</v>
      </c>
      <c r="C66" s="23" t="s">
        <v>36</v>
      </c>
      <c r="D66" s="123" t="n">
        <f aca="false">D67+D70</f>
        <v>1051257.547</v>
      </c>
      <c r="E66" s="123" t="n">
        <f aca="false">E67+E70</f>
        <v>1809267.99497975</v>
      </c>
      <c r="F66" s="123" t="n">
        <f aca="false">F67+F70</f>
        <v>1825552</v>
      </c>
    </row>
    <row r="67" customFormat="false" ht="25.5" hidden="false" customHeight="true" outlineLevel="0" collapsed="false">
      <c r="A67" s="21" t="s">
        <v>52</v>
      </c>
      <c r="B67" s="22" t="s">
        <v>41</v>
      </c>
      <c r="C67" s="23" t="s">
        <v>36</v>
      </c>
      <c r="D67" s="123" t="n">
        <f aca="false">D68+D69</f>
        <v>738833.939</v>
      </c>
      <c r="E67" s="123" t="n">
        <f aca="false">E68+E69</f>
        <v>1216531.94688507</v>
      </c>
      <c r="F67" s="123" t="n">
        <f aca="false">F68+F69</f>
        <v>1221623</v>
      </c>
    </row>
    <row r="68" customFormat="false" ht="25.5" hidden="false" customHeight="true" outlineLevel="0" collapsed="false">
      <c r="A68" s="28"/>
      <c r="B68" s="22" t="s">
        <v>42</v>
      </c>
      <c r="C68" s="23" t="s">
        <v>36</v>
      </c>
      <c r="D68" s="123" t="n">
        <v>380694.569</v>
      </c>
      <c r="E68" s="124" t="n">
        <v>609443.996885073</v>
      </c>
      <c r="F68" s="123" t="n">
        <v>628416</v>
      </c>
    </row>
    <row r="69" customFormat="false" ht="25.5" hidden="false" customHeight="true" outlineLevel="0" collapsed="false">
      <c r="A69" s="28"/>
      <c r="B69" s="22" t="s">
        <v>43</v>
      </c>
      <c r="C69" s="23" t="s">
        <v>36</v>
      </c>
      <c r="D69" s="123" t="n">
        <f aca="false">60586.294+61667.172+60648.236+59783.927+58137.049+57316.692</f>
        <v>358139.37</v>
      </c>
      <c r="E69" s="124" t="n">
        <v>607087.95</v>
      </c>
      <c r="F69" s="123" t="n">
        <v>593207</v>
      </c>
    </row>
    <row r="70" customFormat="false" ht="20.25" hidden="false" customHeight="true" outlineLevel="0" collapsed="false">
      <c r="A70" s="21" t="s">
        <v>53</v>
      </c>
      <c r="B70" s="22" t="s">
        <v>45</v>
      </c>
      <c r="C70" s="23" t="s">
        <v>36</v>
      </c>
      <c r="D70" s="123" t="n">
        <f aca="false">D71+D72</f>
        <v>312423.608</v>
      </c>
      <c r="E70" s="123" t="n">
        <f aca="false">E71+E72</f>
        <v>592736.04809468</v>
      </c>
      <c r="F70" s="123" t="n">
        <f aca="false">F71+F72</f>
        <v>603929</v>
      </c>
    </row>
    <row r="71" customFormat="false" ht="24.75" hidden="false" customHeight="true" outlineLevel="0" collapsed="false">
      <c r="A71" s="28"/>
      <c r="B71" s="22" t="s">
        <v>42</v>
      </c>
      <c r="C71" s="23" t="s">
        <v>36</v>
      </c>
      <c r="D71" s="123" t="n">
        <v>170538.692</v>
      </c>
      <c r="E71" s="124" t="n">
        <v>300314.43809468</v>
      </c>
      <c r="F71" s="123" t="n">
        <v>310657</v>
      </c>
    </row>
    <row r="72" customFormat="false" ht="24" hidden="false" customHeight="true" outlineLevel="0" collapsed="false">
      <c r="A72" s="28"/>
      <c r="B72" s="22" t="s">
        <v>43</v>
      </c>
      <c r="C72" s="23" t="s">
        <v>36</v>
      </c>
      <c r="D72" s="123" t="n">
        <f aca="false">26214.105+26128.056+23579.987+23780.408+21620.944+20561.416</f>
        <v>141884.916</v>
      </c>
      <c r="E72" s="124" t="n">
        <v>292421.61</v>
      </c>
      <c r="F72" s="123" t="n">
        <v>293272</v>
      </c>
    </row>
    <row r="73" customFormat="false" ht="75" hidden="false" customHeight="true" outlineLevel="0" collapsed="false">
      <c r="A73" s="21" t="s">
        <v>54</v>
      </c>
      <c r="B73" s="22" t="s">
        <v>55</v>
      </c>
      <c r="C73" s="23" t="s">
        <v>36</v>
      </c>
      <c r="D73" s="123" t="n">
        <f aca="false">D74+D77</f>
        <v>51201.917</v>
      </c>
      <c r="E73" s="21" t="s">
        <v>195</v>
      </c>
      <c r="F73" s="21"/>
    </row>
    <row r="74" customFormat="false" ht="25.5" hidden="false" customHeight="true" outlineLevel="0" collapsed="false">
      <c r="A74" s="21" t="s">
        <v>56</v>
      </c>
      <c r="B74" s="22" t="s">
        <v>41</v>
      </c>
      <c r="C74" s="23" t="s">
        <v>36</v>
      </c>
      <c r="D74" s="123" t="n">
        <f aca="false">D75+D76</f>
        <v>11060.699</v>
      </c>
      <c r="E74" s="21" t="s">
        <v>195</v>
      </c>
      <c r="F74" s="21"/>
    </row>
    <row r="75" customFormat="false" ht="24" hidden="false" customHeight="true" outlineLevel="0" collapsed="false">
      <c r="A75" s="28"/>
      <c r="B75" s="22" t="s">
        <v>42</v>
      </c>
      <c r="C75" s="23" t="s">
        <v>36</v>
      </c>
      <c r="D75" s="123" t="n">
        <v>5579.217</v>
      </c>
      <c r="E75" s="21" t="s">
        <v>195</v>
      </c>
      <c r="F75" s="21"/>
    </row>
    <row r="76" customFormat="false" ht="24" hidden="false" customHeight="true" outlineLevel="0" collapsed="false">
      <c r="A76" s="28"/>
      <c r="B76" s="22" t="s">
        <v>43</v>
      </c>
      <c r="C76" s="23" t="s">
        <v>36</v>
      </c>
      <c r="D76" s="123" t="n">
        <f aca="false">1104.081+1062.126+1019.355+803.514+552.616+939.79</f>
        <v>5481.482</v>
      </c>
      <c r="E76" s="21" t="s">
        <v>195</v>
      </c>
      <c r="F76" s="21"/>
    </row>
    <row r="77" customFormat="false" ht="24" hidden="false" customHeight="true" outlineLevel="0" collapsed="false">
      <c r="A77" s="21" t="s">
        <v>57</v>
      </c>
      <c r="B77" s="22" t="s">
        <v>45</v>
      </c>
      <c r="C77" s="23" t="s">
        <v>36</v>
      </c>
      <c r="D77" s="123" t="n">
        <f aca="false">D78+D79</f>
        <v>40141.218</v>
      </c>
      <c r="E77" s="21" t="s">
        <v>195</v>
      </c>
      <c r="F77" s="21"/>
    </row>
    <row r="78" customFormat="false" ht="24.75" hidden="false" customHeight="true" outlineLevel="0" collapsed="false">
      <c r="A78" s="28"/>
      <c r="B78" s="22" t="s">
        <v>42</v>
      </c>
      <c r="C78" s="23" t="s">
        <v>36</v>
      </c>
      <c r="D78" s="123" t="n">
        <v>24077.21</v>
      </c>
      <c r="E78" s="21" t="s">
        <v>195</v>
      </c>
      <c r="F78" s="21"/>
    </row>
    <row r="79" customFormat="false" ht="22.5" hidden="false" customHeight="true" outlineLevel="0" collapsed="false">
      <c r="A79" s="28"/>
      <c r="B79" s="22" t="s">
        <v>43</v>
      </c>
      <c r="C79" s="23" t="s">
        <v>36</v>
      </c>
      <c r="D79" s="123" t="n">
        <f aca="false">3934.356+3536.145+2654.608+2045.841+1868.202+2024.856</f>
        <v>16064.008</v>
      </c>
      <c r="E79" s="21" t="s">
        <v>195</v>
      </c>
      <c r="F79" s="21"/>
    </row>
    <row r="80" customFormat="false" ht="80.25" hidden="false" customHeight="true" outlineLevel="0" collapsed="false">
      <c r="A80" s="21" t="s">
        <v>58</v>
      </c>
      <c r="B80" s="22" t="s">
        <v>59</v>
      </c>
      <c r="C80" s="23" t="s">
        <v>36</v>
      </c>
      <c r="D80" s="123" t="n">
        <f aca="false">D81+D84</f>
        <v>1102459.464</v>
      </c>
      <c r="E80" s="21" t="s">
        <v>195</v>
      </c>
      <c r="F80" s="21"/>
    </row>
    <row r="81" customFormat="false" ht="30" hidden="false" customHeight="true" outlineLevel="0" collapsed="false">
      <c r="A81" s="21" t="s">
        <v>60</v>
      </c>
      <c r="B81" s="22" t="s">
        <v>41</v>
      </c>
      <c r="C81" s="23" t="s">
        <v>36</v>
      </c>
      <c r="D81" s="123" t="n">
        <f aca="false">D82+D83</f>
        <v>749894.638</v>
      </c>
      <c r="E81" s="21" t="s">
        <v>195</v>
      </c>
      <c r="F81" s="21"/>
    </row>
    <row r="82" customFormat="false" ht="25.5" hidden="false" customHeight="true" outlineLevel="0" collapsed="false">
      <c r="A82" s="28"/>
      <c r="B82" s="22" t="s">
        <v>42</v>
      </c>
      <c r="C82" s="23" t="s">
        <v>36</v>
      </c>
      <c r="D82" s="123" t="n">
        <v>386273.786</v>
      </c>
      <c r="E82" s="21" t="s">
        <v>195</v>
      </c>
      <c r="F82" s="21"/>
    </row>
    <row r="83" customFormat="false" ht="25.5" hidden="false" customHeight="true" outlineLevel="0" collapsed="false">
      <c r="A83" s="28"/>
      <c r="B83" s="22" t="s">
        <v>43</v>
      </c>
      <c r="C83" s="23" t="s">
        <v>36</v>
      </c>
      <c r="D83" s="123" t="n">
        <f aca="false">61690.375+62729.298+61667.591+60587.441+58689.665+58256.482</f>
        <v>363620.852</v>
      </c>
      <c r="E83" s="21" t="s">
        <v>195</v>
      </c>
      <c r="F83" s="21"/>
    </row>
    <row r="84" customFormat="false" ht="24.75" hidden="false" customHeight="true" outlineLevel="0" collapsed="false">
      <c r="A84" s="21" t="s">
        <v>61</v>
      </c>
      <c r="B84" s="22" t="s">
        <v>45</v>
      </c>
      <c r="C84" s="23" t="s">
        <v>36</v>
      </c>
      <c r="D84" s="123" t="n">
        <f aca="false">D85+D86</f>
        <v>352564.826</v>
      </c>
      <c r="E84" s="21" t="s">
        <v>195</v>
      </c>
      <c r="F84" s="21"/>
    </row>
    <row r="85" customFormat="false" ht="25.5" hidden="false" customHeight="true" outlineLevel="0" collapsed="false">
      <c r="A85" s="28"/>
      <c r="B85" s="22" t="s">
        <v>42</v>
      </c>
      <c r="C85" s="23" t="s">
        <v>36</v>
      </c>
      <c r="D85" s="123" t="n">
        <v>194615.902</v>
      </c>
      <c r="E85" s="21" t="s">
        <v>195</v>
      </c>
      <c r="F85" s="21"/>
    </row>
    <row r="86" customFormat="false" ht="24.75" hidden="false" customHeight="true" outlineLevel="0" collapsed="false">
      <c r="A86" s="28"/>
      <c r="B86" s="22" t="s">
        <v>43</v>
      </c>
      <c r="C86" s="23" t="s">
        <v>36</v>
      </c>
      <c r="D86" s="123" t="n">
        <f aca="false">30148.461+29664.201+26234.595+25826.249+23489.146+22586.272</f>
        <v>157948.924</v>
      </c>
      <c r="E86" s="21" t="s">
        <v>195</v>
      </c>
      <c r="F86" s="21"/>
    </row>
    <row r="87" customFormat="false" ht="33" hidden="false" customHeight="true" outlineLevel="0" collapsed="false">
      <c r="A87" s="21" t="s">
        <v>62</v>
      </c>
      <c r="B87" s="22" t="s">
        <v>63</v>
      </c>
      <c r="C87" s="23" t="s">
        <v>36</v>
      </c>
      <c r="D87" s="123" t="n">
        <f aca="false">D88+D91</f>
        <v>902743.689</v>
      </c>
      <c r="E87" s="123" t="n">
        <f aca="false">E88+E91</f>
        <v>1005170.67125954</v>
      </c>
      <c r="F87" s="123" t="n">
        <f aca="false">F88+F91</f>
        <v>982015</v>
      </c>
    </row>
    <row r="88" customFormat="false" ht="25.5" hidden="false" customHeight="true" outlineLevel="0" collapsed="false">
      <c r="A88" s="21" t="s">
        <v>64</v>
      </c>
      <c r="B88" s="22" t="s">
        <v>41</v>
      </c>
      <c r="C88" s="23" t="s">
        <v>36</v>
      </c>
      <c r="D88" s="123" t="n">
        <f aca="false">D89+D90</f>
        <v>530986.242</v>
      </c>
      <c r="E88" s="123" t="n">
        <f aca="false">E89+E90</f>
        <v>670643.075894219</v>
      </c>
      <c r="F88" s="123" t="n">
        <f aca="false">F89+F90</f>
        <v>654830</v>
      </c>
    </row>
    <row r="89" customFormat="false" ht="24.75" hidden="false" customHeight="true" outlineLevel="0" collapsed="false">
      <c r="A89" s="28"/>
      <c r="B89" s="22" t="s">
        <v>42</v>
      </c>
      <c r="C89" s="23" t="s">
        <v>36</v>
      </c>
      <c r="D89" s="123" t="n">
        <v>275244.005</v>
      </c>
      <c r="E89" s="124" t="n">
        <v>335215.485894219</v>
      </c>
      <c r="F89" s="123" t="n">
        <v>336839</v>
      </c>
    </row>
    <row r="90" customFormat="false" ht="21.75" hidden="false" customHeight="true" outlineLevel="0" collapsed="false">
      <c r="A90" s="28"/>
      <c r="B90" s="22" t="s">
        <v>43</v>
      </c>
      <c r="C90" s="23" t="s">
        <v>36</v>
      </c>
      <c r="D90" s="123" t="n">
        <f aca="false">41918.436+44259.918+43283.451+42463.983+42259.654+41556.795</f>
        <v>255742.237</v>
      </c>
      <c r="E90" s="124" t="n">
        <v>335427.59</v>
      </c>
      <c r="F90" s="123" t="n">
        <v>317991</v>
      </c>
    </row>
    <row r="91" customFormat="false" ht="27" hidden="false" customHeight="true" outlineLevel="0" collapsed="false">
      <c r="A91" s="21" t="s">
        <v>65</v>
      </c>
      <c r="B91" s="22" t="s">
        <v>45</v>
      </c>
      <c r="C91" s="23" t="s">
        <v>36</v>
      </c>
      <c r="D91" s="123" t="n">
        <f aca="false">D92+D93</f>
        <v>371757.447</v>
      </c>
      <c r="E91" s="123" t="n">
        <f aca="false">E92+E93</f>
        <v>334527.595365326</v>
      </c>
      <c r="F91" s="123" t="n">
        <f aca="false">F92+F93</f>
        <v>327185</v>
      </c>
    </row>
    <row r="92" customFormat="false" ht="25.5" hidden="false" customHeight="true" outlineLevel="0" collapsed="false">
      <c r="A92" s="28"/>
      <c r="B92" s="22" t="s">
        <v>42</v>
      </c>
      <c r="C92" s="23" t="s">
        <v>36</v>
      </c>
      <c r="D92" s="123" t="n">
        <v>209361.709</v>
      </c>
      <c r="E92" s="124" t="n">
        <v>173416.646265326</v>
      </c>
      <c r="F92" s="123" t="n">
        <v>168301</v>
      </c>
    </row>
    <row r="93" customFormat="false" ht="24" hidden="false" customHeight="true" outlineLevel="0" collapsed="false">
      <c r="A93" s="28"/>
      <c r="B93" s="22" t="s">
        <v>43</v>
      </c>
      <c r="C93" s="23" t="s">
        <v>36</v>
      </c>
      <c r="D93" s="123" t="n">
        <f aca="false">36016.624+30977.127+26848.539+21734.654+23481.167+23337.627</f>
        <v>162395.738</v>
      </c>
      <c r="E93" s="124" t="n">
        <v>161110.9491</v>
      </c>
      <c r="F93" s="123" t="n">
        <v>158884</v>
      </c>
    </row>
    <row r="94" customFormat="false" ht="32.25" hidden="false" customHeight="true" outlineLevel="0" collapsed="false">
      <c r="A94" s="21" t="s">
        <v>66</v>
      </c>
      <c r="B94" s="22" t="s">
        <v>67</v>
      </c>
      <c r="C94" s="23" t="s">
        <v>36</v>
      </c>
      <c r="D94" s="123" t="n">
        <v>834646.639</v>
      </c>
      <c r="E94" s="124" t="n">
        <v>184060.14</v>
      </c>
      <c r="F94" s="21" t="n">
        <v>199551</v>
      </c>
    </row>
    <row r="95" customFormat="false" ht="29.25" hidden="false" customHeight="true" outlineLevel="0" collapsed="false">
      <c r="A95" s="21" t="s">
        <v>68</v>
      </c>
      <c r="B95" s="22" t="s">
        <v>41</v>
      </c>
      <c r="C95" s="23" t="s">
        <v>36</v>
      </c>
      <c r="D95" s="123" t="n">
        <v>528000.784</v>
      </c>
      <c r="E95" s="21" t="s">
        <v>195</v>
      </c>
      <c r="F95" s="21"/>
    </row>
    <row r="96" customFormat="false" ht="25.5" hidden="false" customHeight="true" outlineLevel="0" collapsed="false">
      <c r="A96" s="28"/>
      <c r="B96" s="22" t="s">
        <v>42</v>
      </c>
      <c r="C96" s="23" t="s">
        <v>36</v>
      </c>
      <c r="D96" s="123" t="n">
        <v>265760.171</v>
      </c>
      <c r="E96" s="21" t="s">
        <v>195</v>
      </c>
      <c r="F96" s="21"/>
    </row>
    <row r="97" customFormat="false" ht="24" hidden="false" customHeight="true" outlineLevel="0" collapsed="false">
      <c r="A97" s="28"/>
      <c r="B97" s="22" t="s">
        <v>43</v>
      </c>
      <c r="C97" s="23" t="s">
        <v>36</v>
      </c>
      <c r="D97" s="123" t="n">
        <f aca="false">43686.526+43741.754+44348.341+48867.635+40823.297+40773.06</f>
        <v>262240.613</v>
      </c>
      <c r="E97" s="21" t="s">
        <v>195</v>
      </c>
      <c r="F97" s="21"/>
    </row>
    <row r="98" customFormat="false" ht="24" hidden="false" customHeight="true" outlineLevel="0" collapsed="false">
      <c r="A98" s="21" t="s">
        <v>69</v>
      </c>
      <c r="B98" s="22" t="s">
        <v>45</v>
      </c>
      <c r="C98" s="23" t="s">
        <v>36</v>
      </c>
      <c r="D98" s="123" t="n">
        <v>306646</v>
      </c>
      <c r="E98" s="21" t="s">
        <v>195</v>
      </c>
      <c r="F98" s="21"/>
    </row>
    <row r="99" customFormat="false" ht="25.5" hidden="false" customHeight="true" outlineLevel="0" collapsed="false">
      <c r="A99" s="28"/>
      <c r="B99" s="22" t="s">
        <v>42</v>
      </c>
      <c r="C99" s="23" t="s">
        <v>36</v>
      </c>
      <c r="D99" s="123" t="n">
        <v>150009.693</v>
      </c>
      <c r="E99" s="21" t="s">
        <v>195</v>
      </c>
      <c r="F99" s="21"/>
    </row>
    <row r="100" customFormat="false" ht="22.5" hidden="false" customHeight="true" outlineLevel="0" collapsed="false">
      <c r="A100" s="28"/>
      <c r="B100" s="22" t="s">
        <v>43</v>
      </c>
      <c r="C100" s="23" t="s">
        <v>36</v>
      </c>
      <c r="D100" s="123" t="n">
        <f aca="false">28731.866+32926.134+28666.461+23874.082+23730.28+18707.339</f>
        <v>156636.162</v>
      </c>
      <c r="E100" s="21" t="s">
        <v>195</v>
      </c>
      <c r="F100" s="21"/>
    </row>
    <row r="101" customFormat="false" ht="80.25" hidden="false" customHeight="true" outlineLevel="0" collapsed="false">
      <c r="A101" s="21" t="s">
        <v>70</v>
      </c>
      <c r="B101" s="22" t="s">
        <v>71</v>
      </c>
      <c r="C101" s="23" t="s">
        <v>36</v>
      </c>
      <c r="D101" s="123" t="n">
        <f aca="false">D102+D105+D108+D111</f>
        <v>8702423.39</v>
      </c>
      <c r="E101" s="123" t="n">
        <f aca="false">E102+E105+E108+E111</f>
        <v>8207662.7</v>
      </c>
      <c r="F101" s="123" t="n">
        <f aca="false">F102+F105+F108+F111</f>
        <v>7944013.5</v>
      </c>
    </row>
    <row r="102" customFormat="false" ht="21.75" hidden="false" customHeight="true" outlineLevel="0" collapsed="false">
      <c r="A102" s="28"/>
      <c r="B102" s="22" t="s">
        <v>179</v>
      </c>
      <c r="C102" s="23" t="s">
        <v>36</v>
      </c>
      <c r="D102" s="123" t="n">
        <f aca="false">D103+D104</f>
        <v>1702370.631</v>
      </c>
      <c r="E102" s="123" t="n">
        <f aca="false">E103+E104</f>
        <v>905482.23</v>
      </c>
      <c r="F102" s="123" t="n">
        <f aca="false">F103+F104</f>
        <v>1182480.253</v>
      </c>
    </row>
    <row r="103" customFormat="false" ht="23.25" hidden="false" customHeight="true" outlineLevel="0" collapsed="false">
      <c r="A103" s="28"/>
      <c r="B103" s="22" t="s">
        <v>42</v>
      </c>
      <c r="C103" s="23" t="s">
        <v>36</v>
      </c>
      <c r="D103" s="123" t="n">
        <v>894397.743</v>
      </c>
      <c r="E103" s="124" t="n">
        <v>454139.87</v>
      </c>
      <c r="F103" s="123" t="n">
        <v>655338.365</v>
      </c>
    </row>
    <row r="104" customFormat="false" ht="21" hidden="false" customHeight="true" outlineLevel="0" collapsed="false">
      <c r="A104" s="28"/>
      <c r="B104" s="22" t="s">
        <v>43</v>
      </c>
      <c r="C104" s="23" t="s">
        <v>36</v>
      </c>
      <c r="D104" s="123" t="n">
        <v>807972.888</v>
      </c>
      <c r="E104" s="124" t="n">
        <v>451342.36</v>
      </c>
      <c r="F104" s="123" t="n">
        <v>527141.888</v>
      </c>
    </row>
    <row r="105" customFormat="false" ht="24.75" hidden="false" customHeight="true" outlineLevel="0" collapsed="false">
      <c r="A105" s="28"/>
      <c r="B105" s="22" t="s">
        <v>180</v>
      </c>
      <c r="C105" s="23" t="s">
        <v>36</v>
      </c>
      <c r="D105" s="123" t="n">
        <f aca="false">D106+D107</f>
        <v>1588786.869</v>
      </c>
      <c r="E105" s="123" t="n">
        <f aca="false">E106+E107</f>
        <v>1152699.73</v>
      </c>
      <c r="F105" s="123" t="n">
        <f aca="false">F106+F107</f>
        <v>1292513.97</v>
      </c>
    </row>
    <row r="106" customFormat="false" ht="23.25" hidden="false" customHeight="true" outlineLevel="0" collapsed="false">
      <c r="A106" s="28"/>
      <c r="B106" s="22" t="s">
        <v>42</v>
      </c>
      <c r="C106" s="23" t="s">
        <v>36</v>
      </c>
      <c r="D106" s="123" t="n">
        <v>814060.293</v>
      </c>
      <c r="E106" s="124" t="n">
        <v>620118.34</v>
      </c>
      <c r="F106" s="123" t="n">
        <v>688881.849</v>
      </c>
    </row>
    <row r="107" customFormat="false" ht="21.75" hidden="false" customHeight="true" outlineLevel="0" collapsed="false">
      <c r="A107" s="28"/>
      <c r="B107" s="22" t="s">
        <v>43</v>
      </c>
      <c r="C107" s="23" t="s">
        <v>36</v>
      </c>
      <c r="D107" s="123" t="n">
        <v>774726.576</v>
      </c>
      <c r="E107" s="124" t="n">
        <v>532581.39</v>
      </c>
      <c r="F107" s="123" t="n">
        <v>603632.121</v>
      </c>
    </row>
    <row r="108" customFormat="false" ht="23.25" hidden="false" customHeight="true" outlineLevel="0" collapsed="false">
      <c r="A108" s="28"/>
      <c r="B108" s="22" t="s">
        <v>73</v>
      </c>
      <c r="C108" s="23" t="s">
        <v>36</v>
      </c>
      <c r="D108" s="123" t="n">
        <f aca="false">D109+D110</f>
        <v>2564156.985</v>
      </c>
      <c r="E108" s="123" t="n">
        <f aca="false">E109+E110</f>
        <v>2652708.81</v>
      </c>
      <c r="F108" s="123" t="n">
        <f aca="false">F109+F110</f>
        <v>2617374.482</v>
      </c>
    </row>
    <row r="109" customFormat="false" ht="24.75" hidden="false" customHeight="true" outlineLevel="0" collapsed="false">
      <c r="A109" s="28"/>
      <c r="B109" s="22" t="s">
        <v>42</v>
      </c>
      <c r="C109" s="23" t="s">
        <v>36</v>
      </c>
      <c r="D109" s="123" t="n">
        <v>1373793.504</v>
      </c>
      <c r="E109" s="124" t="n">
        <v>1398826.47</v>
      </c>
      <c r="F109" s="123" t="n">
        <v>1407358.894</v>
      </c>
    </row>
    <row r="110" customFormat="false" ht="22.5" hidden="false" customHeight="true" outlineLevel="0" collapsed="false">
      <c r="A110" s="28"/>
      <c r="B110" s="22" t="s">
        <v>43</v>
      </c>
      <c r="C110" s="23" t="s">
        <v>36</v>
      </c>
      <c r="D110" s="123" t="n">
        <v>1190363.481</v>
      </c>
      <c r="E110" s="124" t="n">
        <v>1253882.34</v>
      </c>
      <c r="F110" s="123" t="n">
        <v>1210015.588</v>
      </c>
    </row>
    <row r="111" customFormat="false" ht="25.5" hidden="false" customHeight="true" outlineLevel="0" collapsed="false">
      <c r="A111" s="28"/>
      <c r="B111" s="22" t="s">
        <v>74</v>
      </c>
      <c r="C111" s="23" t="s">
        <v>36</v>
      </c>
      <c r="D111" s="123" t="n">
        <f aca="false">D112+D113</f>
        <v>2847108.905</v>
      </c>
      <c r="E111" s="123" t="n">
        <f aca="false">E112+E113</f>
        <v>3496771.93</v>
      </c>
      <c r="F111" s="123" t="n">
        <f aca="false">F112+F113</f>
        <v>2851644.795</v>
      </c>
    </row>
    <row r="112" customFormat="false" ht="26.25" hidden="false" customHeight="true" outlineLevel="0" collapsed="false">
      <c r="A112" s="28"/>
      <c r="B112" s="22" t="s">
        <v>42</v>
      </c>
      <c r="C112" s="23" t="s">
        <v>36</v>
      </c>
      <c r="D112" s="123" t="n">
        <v>1504164.101</v>
      </c>
      <c r="E112" s="124" t="n">
        <v>1887389.41</v>
      </c>
      <c r="F112" s="123" t="n">
        <v>1468855.085</v>
      </c>
    </row>
    <row r="113" customFormat="false" ht="24" hidden="false" customHeight="true" outlineLevel="0" collapsed="false">
      <c r="A113" s="28"/>
      <c r="B113" s="22" t="s">
        <v>43</v>
      </c>
      <c r="C113" s="23" t="s">
        <v>36</v>
      </c>
      <c r="D113" s="123" t="n">
        <v>1342944.804</v>
      </c>
      <c r="E113" s="124" t="n">
        <v>1609382.52</v>
      </c>
      <c r="F113" s="123" t="n">
        <v>1382789.71</v>
      </c>
    </row>
    <row r="114" customFormat="false" ht="68.25" hidden="false" customHeight="true" outlineLevel="0" collapsed="false">
      <c r="A114" s="21" t="s">
        <v>75</v>
      </c>
      <c r="B114" s="22" t="s">
        <v>76</v>
      </c>
      <c r="C114" s="23" t="s">
        <v>36</v>
      </c>
      <c r="D114" s="123" t="n">
        <f aca="false">D115+D116</f>
        <v>2784648.944</v>
      </c>
      <c r="E114" s="123" t="n">
        <f aca="false">E115+E116</f>
        <v>3343909.2</v>
      </c>
      <c r="F114" s="123" t="n">
        <f aca="false">F115+F116</f>
        <v>3096411</v>
      </c>
    </row>
    <row r="115" customFormat="false" ht="25.5" hidden="false" customHeight="true" outlineLevel="0" collapsed="false">
      <c r="A115" s="28"/>
      <c r="B115" s="22" t="s">
        <v>77</v>
      </c>
      <c r="C115" s="23" t="s">
        <v>36</v>
      </c>
      <c r="D115" s="123" t="n">
        <v>1477127.408</v>
      </c>
      <c r="E115" s="124" t="n">
        <v>1742601.81</v>
      </c>
      <c r="F115" s="123" t="n">
        <v>1619960</v>
      </c>
    </row>
    <row r="116" customFormat="false" ht="25.5" hidden="false" customHeight="true" outlineLevel="0" collapsed="false">
      <c r="A116" s="28"/>
      <c r="B116" s="22" t="s">
        <v>78</v>
      </c>
      <c r="C116" s="23" t="s">
        <v>36</v>
      </c>
      <c r="D116" s="123" t="n">
        <v>1307521.536</v>
      </c>
      <c r="E116" s="124" t="n">
        <v>1601307.39</v>
      </c>
      <c r="F116" s="123" t="n">
        <v>1476451</v>
      </c>
    </row>
    <row r="117" customFormat="false" ht="28.5" hidden="false" customHeight="false" outlineLevel="0" collapsed="false">
      <c r="A117" s="21" t="s">
        <v>79</v>
      </c>
      <c r="B117" s="22" t="s">
        <v>80</v>
      </c>
      <c r="C117" s="23" t="s">
        <v>81</v>
      </c>
      <c r="D117" s="21" t="n">
        <f aca="false">D119+D120</f>
        <v>1010.468</v>
      </c>
      <c r="E117" s="21" t="n">
        <f aca="false">E119+E120</f>
        <v>1013.339</v>
      </c>
      <c r="F117" s="21" t="n">
        <f aca="false">F119+F120</f>
        <v>1018.711</v>
      </c>
    </row>
    <row r="118" customFormat="false" ht="18" hidden="false" customHeight="true" outlineLevel="0" collapsed="false">
      <c r="A118" s="28"/>
      <c r="B118" s="22" t="s">
        <v>37</v>
      </c>
      <c r="C118" s="29"/>
      <c r="D118" s="28"/>
      <c r="E118" s="29"/>
      <c r="F118" s="28"/>
    </row>
    <row r="119" customFormat="false" ht="32.25" hidden="false" customHeight="true" outlineLevel="0" collapsed="false">
      <c r="A119" s="21" t="s">
        <v>82</v>
      </c>
      <c r="B119" s="22" t="s">
        <v>83</v>
      </c>
      <c r="C119" s="23" t="s">
        <v>81</v>
      </c>
      <c r="D119" s="21" t="n">
        <f aca="false">2834/1000+977889/1000</f>
        <v>980.723</v>
      </c>
      <c r="E119" s="23" t="n">
        <f aca="false">2615/1000+982556/1000</f>
        <v>985.171</v>
      </c>
      <c r="F119" s="21" t="n">
        <f aca="false">2594/1000+987114/1000</f>
        <v>989.708</v>
      </c>
    </row>
    <row r="120" customFormat="false" ht="78" hidden="false" customHeight="true" outlineLevel="0" collapsed="false">
      <c r="A120" s="21" t="s">
        <v>84</v>
      </c>
      <c r="B120" s="22" t="s">
        <v>85</v>
      </c>
      <c r="C120" s="23" t="s">
        <v>81</v>
      </c>
      <c r="D120" s="21" t="n">
        <f aca="false">D121+D122+D123+D124</f>
        <v>29.745</v>
      </c>
      <c r="E120" s="21" t="n">
        <f aca="false">E121+E122+E123+E124</f>
        <v>28.168</v>
      </c>
      <c r="F120" s="21" t="n">
        <f aca="false">F121+F122+F123+F124</f>
        <v>29.003</v>
      </c>
    </row>
    <row r="121" customFormat="false" ht="24.75" hidden="false" customHeight="true" outlineLevel="0" collapsed="false">
      <c r="A121" s="28"/>
      <c r="B121" s="22" t="s">
        <v>179</v>
      </c>
      <c r="C121" s="23" t="s">
        <v>81</v>
      </c>
      <c r="D121" s="21" t="n">
        <f aca="false">26609/1000</f>
        <v>26.609</v>
      </c>
      <c r="E121" s="23" t="n">
        <f aca="false">25173/1000</f>
        <v>25.173</v>
      </c>
      <c r="F121" s="21" t="n">
        <f aca="false">25911/1000</f>
        <v>25.911</v>
      </c>
    </row>
    <row r="122" customFormat="false" ht="22.5" hidden="false" customHeight="true" outlineLevel="0" collapsed="false">
      <c r="A122" s="28"/>
      <c r="B122" s="22" t="s">
        <v>180</v>
      </c>
      <c r="C122" s="23" t="s">
        <v>81</v>
      </c>
      <c r="D122" s="21" t="n">
        <f aca="false">2608/1000</f>
        <v>2.608</v>
      </c>
      <c r="E122" s="23" t="n">
        <f aca="false">2497/1000</f>
        <v>2.497</v>
      </c>
      <c r="F122" s="21" t="n">
        <f aca="false">2591/1000</f>
        <v>2.591</v>
      </c>
    </row>
    <row r="123" customFormat="false" ht="21" hidden="false" customHeight="true" outlineLevel="0" collapsed="false">
      <c r="A123" s="28"/>
      <c r="B123" s="22" t="s">
        <v>73</v>
      </c>
      <c r="C123" s="23" t="s">
        <v>81</v>
      </c>
      <c r="D123" s="21" t="n">
        <f aca="false">495/1000</f>
        <v>0.495</v>
      </c>
      <c r="E123" s="23" t="n">
        <f aca="false">468/1000</f>
        <v>0.468</v>
      </c>
      <c r="F123" s="21" t="n">
        <f aca="false">471/1000</f>
        <v>0.471</v>
      </c>
    </row>
    <row r="124" customFormat="false" ht="24" hidden="false" customHeight="true" outlineLevel="0" collapsed="false">
      <c r="A124" s="28"/>
      <c r="B124" s="22" t="s">
        <v>74</v>
      </c>
      <c r="C124" s="23" t="s">
        <v>81</v>
      </c>
      <c r="D124" s="21" t="n">
        <f aca="false">33/1000</f>
        <v>0.033</v>
      </c>
      <c r="E124" s="23" t="n">
        <f aca="false">30/1000</f>
        <v>0.03</v>
      </c>
      <c r="F124" s="21" t="n">
        <f aca="false">30/1000</f>
        <v>0.03</v>
      </c>
    </row>
    <row r="125" customFormat="false" ht="62.25" hidden="false" customHeight="true" outlineLevel="0" collapsed="false">
      <c r="A125" s="21" t="s">
        <v>86</v>
      </c>
      <c r="B125" s="22" t="s">
        <v>87</v>
      </c>
      <c r="C125" s="23" t="s">
        <v>81</v>
      </c>
      <c r="D125" s="122" t="n">
        <v>0.07</v>
      </c>
      <c r="E125" s="23" t="n">
        <v>0.072</v>
      </c>
      <c r="F125" s="21" t="n">
        <v>0.081</v>
      </c>
    </row>
    <row r="126" customFormat="false" ht="35.25" hidden="false" customHeight="true" outlineLevel="0" collapsed="false">
      <c r="A126" s="21" t="s">
        <v>88</v>
      </c>
      <c r="B126" s="50" t="s">
        <v>89</v>
      </c>
      <c r="C126" s="23" t="s">
        <v>90</v>
      </c>
      <c r="D126" s="123" t="n">
        <v>1180010</v>
      </c>
      <c r="E126" s="124" t="n">
        <v>1185201</v>
      </c>
      <c r="F126" s="123" t="n">
        <v>1192458</v>
      </c>
    </row>
    <row r="127" customFormat="false" ht="24.75" hidden="false" customHeight="true" outlineLevel="0" collapsed="false">
      <c r="A127" s="28"/>
      <c r="B127" s="22" t="s">
        <v>37</v>
      </c>
      <c r="C127" s="29"/>
      <c r="D127" s="123"/>
      <c r="E127" s="124"/>
      <c r="F127" s="123"/>
    </row>
    <row r="128" customFormat="false" ht="33" hidden="false" customHeight="true" outlineLevel="0" collapsed="false">
      <c r="A128" s="21" t="s">
        <v>91</v>
      </c>
      <c r="B128" s="50" t="s">
        <v>92</v>
      </c>
      <c r="C128" s="23" t="s">
        <v>90</v>
      </c>
      <c r="D128" s="123" t="n">
        <v>1094420</v>
      </c>
      <c r="E128" s="124" t="n">
        <v>1099770</v>
      </c>
      <c r="F128" s="123" t="n">
        <v>1104590</v>
      </c>
    </row>
    <row r="129" customFormat="false" ht="78.75" hidden="false" customHeight="true" outlineLevel="0" collapsed="false">
      <c r="A129" s="21" t="s">
        <v>93</v>
      </c>
      <c r="B129" s="50" t="s">
        <v>94</v>
      </c>
      <c r="C129" s="23" t="s">
        <v>90</v>
      </c>
      <c r="D129" s="123" t="n">
        <v>85590</v>
      </c>
      <c r="E129" s="124" t="n">
        <v>85431</v>
      </c>
      <c r="F129" s="123" t="n">
        <v>87868</v>
      </c>
    </row>
    <row r="130" customFormat="false" ht="24.75" hidden="false" customHeight="true" outlineLevel="0" collapsed="false">
      <c r="A130" s="28"/>
      <c r="B130" s="52" t="s">
        <v>179</v>
      </c>
      <c r="C130" s="53" t="s">
        <v>90</v>
      </c>
      <c r="D130" s="123" t="n">
        <v>55021</v>
      </c>
      <c r="E130" s="124" t="n">
        <v>55122</v>
      </c>
      <c r="F130" s="123" t="n">
        <v>56739</v>
      </c>
    </row>
    <row r="131" customFormat="false" ht="26.25" hidden="false" customHeight="true" outlineLevel="0" collapsed="false">
      <c r="A131" s="28"/>
      <c r="B131" s="52" t="s">
        <v>180</v>
      </c>
      <c r="C131" s="53" t="s">
        <v>90</v>
      </c>
      <c r="D131" s="123" t="n">
        <v>20603</v>
      </c>
      <c r="E131" s="124" t="n">
        <v>20410</v>
      </c>
      <c r="F131" s="123" t="n">
        <v>21179</v>
      </c>
    </row>
    <row r="132" customFormat="false" ht="26.25" hidden="false" customHeight="true" outlineLevel="0" collapsed="false">
      <c r="A132" s="28"/>
      <c r="B132" s="52" t="s">
        <v>73</v>
      </c>
      <c r="C132" s="53" t="s">
        <v>90</v>
      </c>
      <c r="D132" s="123" t="n">
        <v>8037</v>
      </c>
      <c r="E132" s="124" t="n">
        <v>8021</v>
      </c>
      <c r="F132" s="123" t="n">
        <v>8072</v>
      </c>
    </row>
    <row r="133" customFormat="false" ht="25.5" hidden="false" customHeight="true" outlineLevel="0" collapsed="false">
      <c r="A133" s="28"/>
      <c r="B133" s="52" t="s">
        <v>74</v>
      </c>
      <c r="C133" s="53" t="s">
        <v>90</v>
      </c>
      <c r="D133" s="123" t="n">
        <v>1929</v>
      </c>
      <c r="E133" s="124" t="n">
        <v>1878</v>
      </c>
      <c r="F133" s="123" t="n">
        <v>1878</v>
      </c>
    </row>
    <row r="134" customFormat="false" ht="27.75" hidden="false" customHeight="true" outlineLevel="0" collapsed="false">
      <c r="A134" s="21" t="s">
        <v>95</v>
      </c>
      <c r="B134" s="52" t="s">
        <v>96</v>
      </c>
      <c r="C134" s="53" t="s">
        <v>90</v>
      </c>
      <c r="D134" s="74"/>
      <c r="E134" s="54"/>
      <c r="F134" s="74"/>
    </row>
    <row r="135" customFormat="false" ht="32.25" hidden="false" customHeight="true" outlineLevel="0" collapsed="false">
      <c r="A135" s="21" t="s">
        <v>98</v>
      </c>
      <c r="B135" s="22" t="s">
        <v>99</v>
      </c>
      <c r="C135" s="23" t="s">
        <v>100</v>
      </c>
      <c r="D135" s="123" t="n">
        <v>1269697.45358234</v>
      </c>
      <c r="E135" s="124" t="n">
        <v>1402256</v>
      </c>
      <c r="F135" s="123" t="n">
        <v>2863363</v>
      </c>
    </row>
    <row r="136" customFormat="false" ht="42.75" hidden="false" customHeight="false" outlineLevel="0" collapsed="false">
      <c r="A136" s="21" t="s">
        <v>101</v>
      </c>
      <c r="B136" s="50" t="s">
        <v>102</v>
      </c>
      <c r="C136" s="54"/>
      <c r="D136" s="74"/>
      <c r="E136" s="54"/>
      <c r="F136" s="74"/>
    </row>
    <row r="137" customFormat="false" ht="28.5" hidden="false" customHeight="false" outlineLevel="0" collapsed="false">
      <c r="A137" s="21" t="s">
        <v>103</v>
      </c>
      <c r="B137" s="22" t="s">
        <v>104</v>
      </c>
      <c r="C137" s="23" t="s">
        <v>105</v>
      </c>
      <c r="D137" s="123" t="n">
        <v>1099</v>
      </c>
      <c r="E137" s="124" t="n">
        <v>1156</v>
      </c>
      <c r="F137" s="123" t="n">
        <v>1156</v>
      </c>
    </row>
    <row r="138" customFormat="false" ht="48" hidden="false" customHeight="true" outlineLevel="0" collapsed="false">
      <c r="A138" s="57" t="s">
        <v>106</v>
      </c>
      <c r="B138" s="22" t="s">
        <v>107</v>
      </c>
      <c r="C138" s="23" t="s">
        <v>108</v>
      </c>
      <c r="D138" s="123" t="n">
        <v>39503</v>
      </c>
      <c r="E138" s="124" t="n">
        <v>39979</v>
      </c>
      <c r="F138" s="123" t="n">
        <v>51358</v>
      </c>
    </row>
    <row r="139" customFormat="false" ht="47.25" hidden="false" customHeight="true" outlineLevel="0" collapsed="false">
      <c r="A139" s="21" t="s">
        <v>109</v>
      </c>
      <c r="B139" s="50" t="s">
        <v>110</v>
      </c>
      <c r="C139" s="54"/>
      <c r="D139" s="123" t="s">
        <v>97</v>
      </c>
      <c r="E139" s="124" t="s">
        <v>97</v>
      </c>
      <c r="F139" s="123" t="s">
        <v>97</v>
      </c>
    </row>
    <row r="140" customFormat="false" ht="31.5" hidden="false" customHeight="true" outlineLevel="0" collapsed="false">
      <c r="A140" s="21" t="s">
        <v>111</v>
      </c>
      <c r="B140" s="22" t="s">
        <v>112</v>
      </c>
      <c r="C140" s="23" t="s">
        <v>100</v>
      </c>
      <c r="D140" s="123" t="n">
        <v>13582</v>
      </c>
      <c r="E140" s="124" t="n">
        <v>94121</v>
      </c>
      <c r="F140" s="123" t="n">
        <v>98702</v>
      </c>
    </row>
    <row r="141" customFormat="false" ht="32.25" hidden="false" customHeight="true" outlineLevel="0" collapsed="false">
      <c r="A141" s="21" t="s">
        <v>113</v>
      </c>
      <c r="B141" s="22" t="s">
        <v>114</v>
      </c>
      <c r="C141" s="23" t="s">
        <v>100</v>
      </c>
      <c r="D141" s="123" t="n">
        <v>42370</v>
      </c>
      <c r="E141" s="124" t="n">
        <v>0</v>
      </c>
      <c r="F141" s="123" t="n">
        <v>404585</v>
      </c>
    </row>
    <row r="142" customFormat="false" ht="33.75" hidden="false" customHeight="true" outlineLevel="0" collapsed="false">
      <c r="A142" s="21" t="s">
        <v>115</v>
      </c>
      <c r="B142" s="22" t="s">
        <v>116</v>
      </c>
      <c r="C142" s="23" t="s">
        <v>100</v>
      </c>
      <c r="D142" s="123" t="n">
        <v>64960</v>
      </c>
      <c r="E142" s="124" t="n">
        <v>43909</v>
      </c>
      <c r="F142" s="123" t="n">
        <v>277077</v>
      </c>
    </row>
    <row r="143" customFormat="false" ht="31.5" hidden="false" customHeight="true" outlineLevel="0" collapsed="false">
      <c r="A143" s="21" t="s">
        <v>117</v>
      </c>
      <c r="B143" s="22" t="s">
        <v>118</v>
      </c>
      <c r="C143" s="23" t="s">
        <v>100</v>
      </c>
      <c r="D143" s="123" t="s">
        <v>97</v>
      </c>
      <c r="E143" s="124" t="s">
        <v>97</v>
      </c>
      <c r="F143" s="123" t="s">
        <v>97</v>
      </c>
    </row>
    <row r="144" customFormat="false" ht="51" hidden="false" customHeight="true" outlineLevel="0" collapsed="false">
      <c r="A144" s="21" t="s">
        <v>119</v>
      </c>
      <c r="B144" s="22" t="s">
        <v>120</v>
      </c>
      <c r="C144" s="23" t="s">
        <v>121</v>
      </c>
      <c r="D144" s="21" t="n">
        <v>5.12</v>
      </c>
      <c r="E144" s="23" t="n">
        <v>3.13</v>
      </c>
      <c r="F144" s="21" t="n">
        <v>9.68</v>
      </c>
    </row>
    <row r="145" customFormat="false" ht="90" hidden="false" customHeight="true" outlineLevel="0" collapsed="false">
      <c r="A145" s="61" t="s">
        <v>122</v>
      </c>
      <c r="B145" s="62" t="s">
        <v>123</v>
      </c>
      <c r="C145" s="63"/>
      <c r="D145" s="81" t="s">
        <v>196</v>
      </c>
      <c r="E145" s="126" t="s">
        <v>197</v>
      </c>
      <c r="F145" s="61" t="s">
        <v>97</v>
      </c>
    </row>
    <row r="146" customFormat="false" ht="14.25" hidden="false" customHeight="false" outlineLevel="0" collapsed="false">
      <c r="A146" s="6"/>
    </row>
    <row r="147" customFormat="false" ht="14.25" hidden="false" customHeight="false" outlineLevel="0" collapsed="false">
      <c r="A147" s="67" t="s">
        <v>126</v>
      </c>
      <c r="B147" s="67"/>
      <c r="C147" s="67"/>
      <c r="D147" s="67"/>
      <c r="E147" s="67"/>
      <c r="F147" s="67"/>
      <c r="G147" s="67"/>
      <c r="H147" s="67"/>
    </row>
    <row r="148" customFormat="false" ht="14.25" hidden="false" customHeight="false" outlineLevel="0" collapsed="false">
      <c r="A148" s="69"/>
      <c r="B148" s="69"/>
      <c r="C148" s="69"/>
      <c r="D148" s="69"/>
    </row>
    <row r="149" customFormat="false" ht="15" hidden="false" customHeight="false" outlineLevel="0" collapsed="false">
      <c r="A149" s="13"/>
    </row>
    <row r="150" customFormat="false" ht="15" hidden="false" customHeight="false" outlineLevel="0" collapsed="false">
      <c r="A150" s="13"/>
    </row>
    <row r="151" customFormat="false" ht="15" hidden="false" customHeight="false" outlineLevel="0" collapsed="false">
      <c r="A151" s="13"/>
    </row>
    <row r="152" customFormat="false" ht="15" hidden="false" customHeight="false" outlineLevel="0" collapsed="false">
      <c r="A152" s="13"/>
    </row>
    <row r="153" customFormat="false" ht="15" hidden="false" customHeight="false" outlineLevel="0" collapsed="false">
      <c r="A153" s="13"/>
    </row>
    <row r="154" customFormat="false" ht="15" hidden="false" customHeight="false" outlineLevel="0" collapsed="false">
      <c r="A154" s="13"/>
      <c r="E154" s="14"/>
      <c r="G154" s="14"/>
      <c r="J154" s="14" t="s">
        <v>127</v>
      </c>
    </row>
    <row r="155" customFormat="false" ht="15" hidden="false" customHeight="false" outlineLevel="0" collapsed="false">
      <c r="A155" s="13"/>
      <c r="E155" s="15"/>
      <c r="G155" s="15"/>
      <c r="J155" s="15" t="s">
        <v>27</v>
      </c>
    </row>
    <row r="156" customFormat="false" ht="15" hidden="false" customHeight="false" outlineLevel="0" collapsed="false">
      <c r="A156" s="13"/>
      <c r="E156" s="14"/>
      <c r="G156" s="14"/>
    </row>
    <row r="157" customFormat="false" ht="15" hidden="false" customHeight="false" outlineLevel="0" collapsed="false">
      <c r="A157" s="13"/>
      <c r="E157" s="14"/>
      <c r="G157" s="14"/>
    </row>
    <row r="158" customFormat="false" ht="15" hidden="false" customHeight="false" outlineLevel="0" collapsed="false">
      <c r="A158" s="13"/>
    </row>
    <row r="159" customFormat="false" ht="15.75" hidden="false" customHeight="false" outlineLevel="0" collapsed="false">
      <c r="A159" s="70" t="s">
        <v>128</v>
      </c>
      <c r="B159" s="70"/>
      <c r="C159" s="70"/>
      <c r="D159" s="70"/>
      <c r="E159" s="70"/>
      <c r="F159" s="70"/>
    </row>
    <row r="160" customFormat="false" ht="51.75" hidden="false" customHeight="true" outlineLevel="0" collapsed="false">
      <c r="A160" s="16" t="s">
        <v>28</v>
      </c>
      <c r="B160" s="16" t="s">
        <v>29</v>
      </c>
      <c r="C160" s="16" t="s">
        <v>30</v>
      </c>
      <c r="D160" s="16" t="s">
        <v>129</v>
      </c>
      <c r="E160" s="16"/>
      <c r="F160" s="127" t="s">
        <v>194</v>
      </c>
      <c r="G160" s="127"/>
      <c r="H160" s="16" t="s">
        <v>130</v>
      </c>
      <c r="I160" s="16"/>
    </row>
    <row r="161" customFormat="false" ht="32.25" hidden="false" customHeight="true" outlineLevel="0" collapsed="false">
      <c r="A161" s="16"/>
      <c r="B161" s="16"/>
      <c r="C161" s="16"/>
      <c r="D161" s="72" t="s">
        <v>131</v>
      </c>
      <c r="E161" s="16" t="s">
        <v>132</v>
      </c>
      <c r="F161" s="16" t="s">
        <v>131</v>
      </c>
      <c r="G161" s="16" t="s">
        <v>132</v>
      </c>
      <c r="H161" s="72" t="s">
        <v>131</v>
      </c>
      <c r="I161" s="16" t="s">
        <v>132</v>
      </c>
    </row>
    <row r="162" customFormat="false" ht="14.25" hidden="false" customHeight="false" outlineLevel="0" collapsed="false">
      <c r="A162" s="73"/>
      <c r="B162" s="50"/>
      <c r="C162" s="74"/>
      <c r="D162" s="77"/>
      <c r="E162" s="74"/>
      <c r="F162" s="74"/>
      <c r="G162" s="74"/>
      <c r="H162" s="77"/>
      <c r="I162" s="74"/>
    </row>
    <row r="163" customFormat="false" ht="21" hidden="false" customHeight="true" outlineLevel="0" collapsed="false">
      <c r="A163" s="73" t="s">
        <v>88</v>
      </c>
      <c r="B163" s="50" t="s">
        <v>133</v>
      </c>
      <c r="C163" s="74"/>
      <c r="D163" s="77"/>
      <c r="E163" s="74"/>
      <c r="F163" s="74"/>
      <c r="G163" s="74"/>
      <c r="H163" s="77"/>
      <c r="I163" s="74"/>
    </row>
    <row r="164" customFormat="false" ht="60.75" hidden="false" customHeight="true" outlineLevel="0" collapsed="false">
      <c r="A164" s="73" t="s">
        <v>91</v>
      </c>
      <c r="B164" s="50" t="s">
        <v>183</v>
      </c>
      <c r="C164" s="50"/>
      <c r="D164" s="128" t="n">
        <v>48.44</v>
      </c>
      <c r="E164" s="21" t="n">
        <v>119.36</v>
      </c>
      <c r="F164" s="78" t="n">
        <f aca="false">152.49/1.18</f>
        <v>129.228813559322</v>
      </c>
      <c r="G164" s="78" t="n">
        <f aca="false">158.43/1.18</f>
        <v>134.262711864407</v>
      </c>
      <c r="H164" s="78" t="n">
        <f aca="false">158.43/1.18</f>
        <v>134.262711864407</v>
      </c>
      <c r="I164" s="21" t="n">
        <v>242.99</v>
      </c>
    </row>
    <row r="165" customFormat="false" ht="78" hidden="false" customHeight="true" outlineLevel="0" collapsed="false">
      <c r="A165" s="73" t="s">
        <v>93</v>
      </c>
      <c r="B165" s="50" t="s">
        <v>184</v>
      </c>
      <c r="C165" s="50"/>
      <c r="D165" s="128" t="n">
        <v>71.97</v>
      </c>
      <c r="E165" s="21" t="n">
        <v>78.13</v>
      </c>
      <c r="F165" s="21" t="n">
        <v>71.07</v>
      </c>
      <c r="G165" s="21" t="n">
        <v>71.07</v>
      </c>
      <c r="H165" s="21" t="n">
        <v>71.07</v>
      </c>
      <c r="I165" s="21" t="n">
        <v>535.9</v>
      </c>
    </row>
    <row r="166" customFormat="false" ht="33.75" hidden="false" customHeight="true" outlineLevel="0" collapsed="false">
      <c r="A166" s="73" t="s">
        <v>137</v>
      </c>
      <c r="B166" s="50" t="s">
        <v>185</v>
      </c>
      <c r="C166" s="73" t="s">
        <v>121</v>
      </c>
      <c r="D166" s="77"/>
      <c r="E166" s="74"/>
      <c r="F166" s="74"/>
      <c r="G166" s="74"/>
      <c r="H166" s="77"/>
      <c r="I166" s="74"/>
    </row>
    <row r="167" customFormat="false" ht="25.5" hidden="false" customHeight="true" outlineLevel="0" collapsed="false">
      <c r="A167" s="74"/>
      <c r="B167" s="50" t="s">
        <v>179</v>
      </c>
      <c r="C167" s="73" t="s">
        <v>121</v>
      </c>
      <c r="D167" s="129" t="n">
        <v>12.15</v>
      </c>
      <c r="E167" s="73" t="n">
        <v>18.22</v>
      </c>
      <c r="F167" s="73" t="n">
        <v>18.22</v>
      </c>
      <c r="G167" s="73" t="n">
        <v>18.22</v>
      </c>
      <c r="H167" s="73" t="n">
        <v>18.22</v>
      </c>
      <c r="I167" s="73" t="n">
        <v>22.68</v>
      </c>
    </row>
    <row r="168" customFormat="false" ht="23.25" hidden="false" customHeight="true" outlineLevel="0" collapsed="false">
      <c r="A168" s="74"/>
      <c r="B168" s="50" t="s">
        <v>180</v>
      </c>
      <c r="C168" s="73" t="s">
        <v>121</v>
      </c>
      <c r="D168" s="129" t="n">
        <v>11.55</v>
      </c>
      <c r="E168" s="73" t="n">
        <v>17.32</v>
      </c>
      <c r="F168" s="73" t="n">
        <v>17.32</v>
      </c>
      <c r="G168" s="73" t="n">
        <v>17.32</v>
      </c>
      <c r="H168" s="73" t="n">
        <v>17.32</v>
      </c>
      <c r="I168" s="73" t="n">
        <v>21.56</v>
      </c>
    </row>
    <row r="169" customFormat="false" ht="21.75" hidden="false" customHeight="true" outlineLevel="0" collapsed="false">
      <c r="A169" s="74"/>
      <c r="B169" s="50" t="s">
        <v>73</v>
      </c>
      <c r="C169" s="73" t="s">
        <v>121</v>
      </c>
      <c r="D169" s="129" t="n">
        <v>7.32</v>
      </c>
      <c r="E169" s="73" t="n">
        <v>10.98</v>
      </c>
      <c r="F169" s="73" t="n">
        <v>10.98</v>
      </c>
      <c r="G169" s="73" t="n">
        <v>10.98</v>
      </c>
      <c r="H169" s="73" t="n">
        <v>10.98</v>
      </c>
      <c r="I169" s="73" t="n">
        <v>13.67</v>
      </c>
    </row>
    <row r="170" customFormat="false" ht="23.25" hidden="false" customHeight="true" outlineLevel="0" collapsed="false">
      <c r="A170" s="81"/>
      <c r="B170" s="82" t="s">
        <v>74</v>
      </c>
      <c r="C170" s="83" t="s">
        <v>121</v>
      </c>
      <c r="D170" s="72" t="n">
        <v>3.99</v>
      </c>
      <c r="E170" s="83" t="n">
        <v>5.98</v>
      </c>
      <c r="F170" s="83" t="n">
        <v>5.98</v>
      </c>
      <c r="G170" s="83" t="n">
        <v>5.98</v>
      </c>
      <c r="H170" s="83" t="n">
        <v>5.98</v>
      </c>
      <c r="I170" s="83" t="n">
        <v>7.45</v>
      </c>
    </row>
    <row r="171" customFormat="false" ht="14.25" hidden="false" customHeight="false" outlineLevel="0" collapsed="false">
      <c r="A171" s="5"/>
      <c r="B171" s="5"/>
      <c r="C171" s="5"/>
      <c r="D171" s="5"/>
      <c r="E171" s="5"/>
      <c r="F171" s="5"/>
      <c r="G171" s="5"/>
    </row>
    <row r="172" customFormat="false" ht="14.25" hidden="false" customHeight="false" outlineLevel="0" collapsed="false">
      <c r="A172" s="67" t="s">
        <v>126</v>
      </c>
      <c r="B172" s="67"/>
      <c r="C172" s="67"/>
      <c r="D172" s="67"/>
      <c r="E172" s="67"/>
      <c r="F172" s="67"/>
    </row>
  </sheetData>
  <mergeCells count="48">
    <mergeCell ref="A1:F1"/>
    <mergeCell ref="A2:F2"/>
    <mergeCell ref="A3:F3"/>
    <mergeCell ref="A4:F4"/>
    <mergeCell ref="A5:F5"/>
    <mergeCell ref="A6:F6"/>
    <mergeCell ref="A7:F7"/>
    <mergeCell ref="A16:F16"/>
    <mergeCell ref="A18:B18"/>
    <mergeCell ref="A20:B20"/>
    <mergeCell ref="A22:B22"/>
    <mergeCell ref="A24:B24"/>
    <mergeCell ref="A26:B26"/>
    <mergeCell ref="A28:B28"/>
    <mergeCell ref="A30:B30"/>
    <mergeCell ref="A32:B32"/>
    <mergeCell ref="A34:B34"/>
    <mergeCell ref="A36:B36"/>
    <mergeCell ref="A46:F46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95:F95"/>
    <mergeCell ref="E96:F96"/>
    <mergeCell ref="E97:F97"/>
    <mergeCell ref="E98:F98"/>
    <mergeCell ref="E99:F99"/>
    <mergeCell ref="E100:F100"/>
    <mergeCell ref="A148:D148"/>
    <mergeCell ref="A159:F159"/>
    <mergeCell ref="A160:A161"/>
    <mergeCell ref="B160:B161"/>
    <mergeCell ref="C160:C161"/>
    <mergeCell ref="D160:E160"/>
    <mergeCell ref="F160:G160"/>
    <mergeCell ref="H160:I160"/>
    <mergeCell ref="A171:G171"/>
  </mergeCells>
  <hyperlinks>
    <hyperlink ref="E12" location="sub_10000" display="к предложению о размере цен"/>
    <hyperlink ref="C32" r:id="rId1" display="kanz@es.krasnoyarsk.ru"/>
    <hyperlink ref="J47" location="sub_10000" display="к предложению о размере цен"/>
    <hyperlink ref="J155" location="sub_10000" display="к предложению о размере цен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LibreOffice/5.3.6.1$Linux_X86_64 LibreOffice_project/30$Build-1</Application>
  <Company>Красноярскэнергосбыт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2014-09-02T00:28:10Z</dcterms:created>
  <dc:creator>Смирнова Татьяна Ивановна</dc:creator>
  <dc:description/>
  <dc:language>ru-RU</dc:language>
  <cp:lastModifiedBy/>
  <cp:lastPrinted>2019-04-15T08:46:09Z</cp:lastPrinted>
  <dcterms:modified xsi:type="dcterms:W3CDTF">2025-10-31T11:31:24Z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Красноярскэнергосбыт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