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20" windowHeight="10365"/>
  </bookViews>
  <sheets>
    <sheet name="2017" sheetId="4" r:id="rId1"/>
    <sheet name="2015" sheetId="1" state="hidden" r:id="rId2"/>
    <sheet name="Лист1" sheetId="3" state="hidden" r:id="rId3"/>
  </sheets>
  <definedNames>
    <definedName name="sub_10100" localSheetId="1">'2015'!$A$1</definedName>
    <definedName name="sub_10100" localSheetId="0">'2017'!$A$1</definedName>
    <definedName name="sub_10200" localSheetId="1">'2015'!$A$28</definedName>
    <definedName name="sub_10200" localSheetId="0">'2017'!$A$28</definedName>
    <definedName name="sub_10300" localSheetId="1">'2015'!$A$32</definedName>
    <definedName name="sub_10300" localSheetId="0">'2017'!$A$32</definedName>
    <definedName name="sub_10311" localSheetId="1">'2015'!$A$138</definedName>
    <definedName name="sub_10311" localSheetId="0">'2017'!$A$138</definedName>
    <definedName name="sub_10500" localSheetId="1">'2015'!$A$140</definedName>
    <definedName name="sub_10500" localSheetId="0">'2017'!$A$140</definedName>
    <definedName name="sub_10511" localSheetId="1">'2015'!$A$162</definedName>
    <definedName name="sub_10511" localSheetId="0">'2017'!$A$162</definedName>
    <definedName name="_xlnm.Print_Area" localSheetId="1">'2015'!$A$1:$I$172</definedName>
    <definedName name="_xlnm.Print_Area" localSheetId="0">'2017'!$A$1:$I$172</definedName>
  </definedNames>
  <calcPr calcId="145621"/>
</workbook>
</file>

<file path=xl/calcChain.xml><?xml version="1.0" encoding="utf-8"?>
<calcChain xmlns="http://schemas.openxmlformats.org/spreadsheetml/2006/main">
  <c r="F164" i="4" l="1"/>
  <c r="E164" i="4"/>
  <c r="D164" i="4"/>
  <c r="F128" i="4" l="1"/>
  <c r="E128" i="4"/>
  <c r="D128" i="4"/>
  <c r="F119" i="4"/>
  <c r="E119" i="4"/>
  <c r="D119" i="4"/>
  <c r="E72" i="4" l="1"/>
  <c r="E93" i="4"/>
  <c r="E92" i="4"/>
  <c r="E90" i="4"/>
  <c r="E89" i="4"/>
  <c r="E71" i="4"/>
  <c r="E69" i="4"/>
  <c r="E68" i="4"/>
  <c r="F90" i="4"/>
  <c r="F93" i="4"/>
  <c r="F92" i="4"/>
  <c r="F89" i="4"/>
  <c r="F72" i="4"/>
  <c r="F71" i="4"/>
  <c r="F69" i="4" l="1"/>
  <c r="F68" i="4"/>
  <c r="D107" i="4" l="1"/>
  <c r="F95" i="4" l="1"/>
  <c r="F88" i="4"/>
  <c r="D114" i="4" l="1"/>
  <c r="E70" i="4" l="1"/>
  <c r="O54" i="4" l="1"/>
  <c r="O55" i="4"/>
  <c r="O56" i="4"/>
  <c r="O57" i="4"/>
  <c r="O58" i="4"/>
  <c r="O62" i="4"/>
  <c r="O63" i="4"/>
  <c r="O64" i="4"/>
  <c r="O65" i="4"/>
  <c r="O69" i="4"/>
  <c r="O70" i="4"/>
  <c r="O71" i="4"/>
  <c r="O72" i="4"/>
  <c r="O73" i="4"/>
  <c r="O74" i="4"/>
  <c r="O75" i="4"/>
  <c r="O76" i="4"/>
  <c r="O77" i="4"/>
  <c r="O78" i="4"/>
  <c r="O79" i="4"/>
  <c r="O83" i="4"/>
  <c r="O84" i="4"/>
  <c r="O85" i="4"/>
  <c r="O86" i="4"/>
  <c r="O91" i="4"/>
  <c r="O92" i="4"/>
  <c r="O93" i="4"/>
  <c r="N90" i="4"/>
  <c r="O90" i="4" s="1"/>
  <c r="N91" i="4"/>
  <c r="N92" i="4"/>
  <c r="N93" i="4"/>
  <c r="N52" i="4"/>
  <c r="O52" i="4" s="1"/>
  <c r="N53" i="4"/>
  <c r="O53" i="4" s="1"/>
  <c r="N54" i="4"/>
  <c r="N55" i="4"/>
  <c r="N56" i="4"/>
  <c r="N57" i="4"/>
  <c r="N58" i="4"/>
  <c r="N59" i="4"/>
  <c r="O59" i="4" s="1"/>
  <c r="N60" i="4"/>
  <c r="O60" i="4" s="1"/>
  <c r="N61" i="4"/>
  <c r="O61" i="4" s="1"/>
  <c r="N62" i="4"/>
  <c r="N63" i="4"/>
  <c r="N64" i="4"/>
  <c r="N65" i="4"/>
  <c r="N66" i="4"/>
  <c r="O66" i="4" s="1"/>
  <c r="N67" i="4"/>
  <c r="O67" i="4" s="1"/>
  <c r="N68" i="4"/>
  <c r="O68" i="4" s="1"/>
  <c r="N69" i="4"/>
  <c r="N70" i="4"/>
  <c r="N71" i="4"/>
  <c r="N72" i="4"/>
  <c r="N73" i="4"/>
  <c r="N74" i="4"/>
  <c r="N75" i="4"/>
  <c r="N76" i="4"/>
  <c r="N77" i="4"/>
  <c r="N78" i="4"/>
  <c r="N79" i="4"/>
  <c r="N80" i="4"/>
  <c r="O80" i="4" s="1"/>
  <c r="N81" i="4"/>
  <c r="O81" i="4" s="1"/>
  <c r="N82" i="4"/>
  <c r="O82" i="4" s="1"/>
  <c r="N83" i="4"/>
  <c r="N84" i="4"/>
  <c r="N85" i="4"/>
  <c r="N86" i="4"/>
  <c r="N89" i="4"/>
  <c r="O89" i="4" s="1"/>
  <c r="H164" i="4" l="1"/>
  <c r="G164" i="4"/>
  <c r="F129" i="4" l="1"/>
  <c r="F126" i="4" s="1"/>
  <c r="D111" i="4" l="1"/>
  <c r="D108" i="4"/>
  <c r="D105" i="4"/>
  <c r="D102" i="4"/>
  <c r="F84" i="4"/>
  <c r="F80" i="4" s="1"/>
  <c r="E84" i="4"/>
  <c r="D84" i="4"/>
  <c r="F81" i="4"/>
  <c r="E81" i="4"/>
  <c r="D81" i="4"/>
  <c r="D98" i="4"/>
  <c r="D53" i="4"/>
  <c r="D91" i="4"/>
  <c r="D88" i="4"/>
  <c r="D63" i="4"/>
  <c r="D60" i="4"/>
  <c r="D101" i="4" l="1"/>
  <c r="D95" i="4"/>
  <c r="E80" i="4"/>
  <c r="D80" i="4"/>
  <c r="D70" i="4"/>
  <c r="D67" i="4"/>
  <c r="D94" i="4" l="1"/>
  <c r="E74" i="4" l="1"/>
  <c r="F74" i="4"/>
  <c r="F73" i="4" s="1"/>
  <c r="E77" i="4"/>
  <c r="F77" i="4"/>
  <c r="F98" i="4"/>
  <c r="F94" i="4" s="1"/>
  <c r="F67" i="4"/>
  <c r="E53" i="4"/>
  <c r="E98" i="4"/>
  <c r="E95" i="4"/>
  <c r="E54" i="4"/>
  <c r="E129" i="4"/>
  <c r="E120" i="4"/>
  <c r="E117" i="4" s="1"/>
  <c r="E114" i="4"/>
  <c r="E111" i="4"/>
  <c r="E108" i="4"/>
  <c r="E105" i="4"/>
  <c r="E102" i="4"/>
  <c r="E91" i="4"/>
  <c r="E88" i="4"/>
  <c r="E57" i="4"/>
  <c r="E63" i="4"/>
  <c r="E60" i="4"/>
  <c r="D54" i="4"/>
  <c r="D56" i="4"/>
  <c r="D57" i="4"/>
  <c r="D59" i="4"/>
  <c r="D66" i="4"/>
  <c r="D129" i="4"/>
  <c r="F120" i="4"/>
  <c r="F117" i="4" s="1"/>
  <c r="D120" i="4"/>
  <c r="D117" i="4" s="1"/>
  <c r="F114" i="4"/>
  <c r="F111" i="4"/>
  <c r="F108" i="4"/>
  <c r="F105" i="4"/>
  <c r="F102" i="4"/>
  <c r="F91" i="4"/>
  <c r="F87" i="4" s="1"/>
  <c r="D87" i="4"/>
  <c r="D77" i="4"/>
  <c r="D55" i="4" s="1"/>
  <c r="D74" i="4"/>
  <c r="D52" i="4" s="1"/>
  <c r="F70" i="4"/>
  <c r="F63" i="4"/>
  <c r="F60" i="4"/>
  <c r="F57" i="4"/>
  <c r="F56" i="4"/>
  <c r="F54" i="4"/>
  <c r="E94" i="4" l="1"/>
  <c r="E59" i="4"/>
  <c r="D51" i="4"/>
  <c r="D49" i="4" s="1"/>
  <c r="E56" i="4"/>
  <c r="E101" i="4"/>
  <c r="E67" i="4"/>
  <c r="E52" i="4" s="1"/>
  <c r="E73" i="4"/>
  <c r="D126" i="4"/>
  <c r="E126" i="4"/>
  <c r="F59" i="4"/>
  <c r="F101" i="4"/>
  <c r="F55" i="4"/>
  <c r="E87" i="4"/>
  <c r="E55" i="4"/>
  <c r="F52" i="4"/>
  <c r="F66" i="4"/>
  <c r="F53" i="4"/>
  <c r="D73" i="4"/>
  <c r="F51" i="4" l="1"/>
  <c r="E51" i="4"/>
  <c r="E66" i="4"/>
  <c r="H14" i="3"/>
  <c r="H13" i="3"/>
  <c r="H12" i="3" s="1"/>
  <c r="H10" i="3"/>
  <c r="H9" i="3"/>
  <c r="H8" i="3" s="1"/>
  <c r="H6" i="3"/>
  <c r="H4" i="3" s="1"/>
  <c r="H5" i="3"/>
  <c r="C12" i="3"/>
  <c r="D12" i="3"/>
  <c r="E12" i="3"/>
  <c r="F12" i="3"/>
  <c r="B12" i="3"/>
  <c r="C8" i="3"/>
  <c r="D8" i="3"/>
  <c r="E8" i="3"/>
  <c r="F8" i="3"/>
  <c r="B8" i="3"/>
  <c r="C4" i="3"/>
  <c r="D4" i="3"/>
  <c r="E4" i="3"/>
  <c r="F4" i="3"/>
  <c r="B4" i="3"/>
  <c r="G12" i="3"/>
  <c r="G8" i="3"/>
  <c r="G4" i="3"/>
  <c r="E49" i="4" l="1"/>
  <c r="N51" i="4"/>
  <c r="O51" i="4" s="1"/>
  <c r="F49" i="4"/>
  <c r="F53" i="1"/>
  <c r="F52" i="1" s="1"/>
  <c r="F54" i="1"/>
  <c r="F56" i="1"/>
  <c r="F55" i="1" s="1"/>
  <c r="F57" i="1"/>
  <c r="E119" i="1"/>
  <c r="F119" i="1"/>
  <c r="D119" i="1"/>
  <c r="E114" i="1"/>
  <c r="F114" i="1"/>
  <c r="D114" i="1"/>
  <c r="F111" i="1"/>
  <c r="E111" i="1"/>
  <c r="D111" i="1"/>
  <c r="F108" i="1"/>
  <c r="E108" i="1"/>
  <c r="D108" i="1"/>
  <c r="F105" i="1"/>
  <c r="E105" i="1"/>
  <c r="D105" i="1"/>
  <c r="E102" i="1"/>
  <c r="F102" i="1"/>
  <c r="D102" i="1"/>
  <c r="F91" i="1"/>
  <c r="E91" i="1"/>
  <c r="E88" i="1"/>
  <c r="F88" i="1"/>
  <c r="F70" i="1"/>
  <c r="E70" i="1"/>
  <c r="F67" i="1"/>
  <c r="E67" i="1"/>
  <c r="F63" i="1"/>
  <c r="E63" i="1"/>
  <c r="F60" i="1"/>
  <c r="E60" i="1"/>
  <c r="E55" i="1"/>
  <c r="E52" i="1"/>
  <c r="D54" i="1"/>
  <c r="D52" i="1" s="1"/>
  <c r="D57" i="1"/>
  <c r="D55" i="1" s="1"/>
  <c r="D62" i="1"/>
  <c r="D60" i="1" s="1"/>
  <c r="D59" i="1" s="1"/>
  <c r="D65" i="1"/>
  <c r="D63" i="1" s="1"/>
  <c r="D100" i="1"/>
  <c r="D97" i="1"/>
  <c r="D93" i="1"/>
  <c r="D91" i="1" s="1"/>
  <c r="D90" i="1"/>
  <c r="D88" i="1" s="1"/>
  <c r="D86" i="1"/>
  <c r="D84" i="1" s="1"/>
  <c r="D83" i="1"/>
  <c r="D81" i="1" s="1"/>
  <c r="D79" i="1"/>
  <c r="D77" i="1" s="1"/>
  <c r="D76" i="1"/>
  <c r="D74" i="1" s="1"/>
  <c r="D69" i="1"/>
  <c r="D67" i="1" s="1"/>
  <c r="D72" i="1"/>
  <c r="D70" i="1" s="1"/>
  <c r="F124" i="1"/>
  <c r="E124" i="1"/>
  <c r="D124" i="1"/>
  <c r="F123" i="1"/>
  <c r="E123" i="1"/>
  <c r="D123" i="1"/>
  <c r="F122" i="1"/>
  <c r="E122" i="1"/>
  <c r="D122" i="1"/>
  <c r="F121" i="1"/>
  <c r="E121" i="1"/>
  <c r="D121" i="1"/>
  <c r="H164" i="1"/>
  <c r="G164" i="1"/>
  <c r="F164" i="1"/>
  <c r="E59" i="1" l="1"/>
  <c r="F87" i="1"/>
  <c r="D87" i="1"/>
  <c r="F59" i="1"/>
  <c r="D73" i="1"/>
  <c r="E66" i="1"/>
  <c r="F101" i="1"/>
  <c r="E120" i="1"/>
  <c r="F120" i="1"/>
  <c r="D66" i="1"/>
  <c r="D120" i="1"/>
  <c r="D117" i="1" s="1"/>
  <c r="F66" i="1"/>
  <c r="E87" i="1"/>
  <c r="E101" i="1"/>
  <c r="D80" i="1"/>
  <c r="E117" i="1"/>
  <c r="F117" i="1"/>
  <c r="D101" i="1"/>
  <c r="N88" i="4"/>
  <c r="O88" i="4" s="1"/>
  <c r="N87" i="4"/>
  <c r="O87" i="4" s="1"/>
</calcChain>
</file>

<file path=xl/sharedStrings.xml><?xml version="1.0" encoding="utf-8"?>
<sst xmlns="http://schemas.openxmlformats.org/spreadsheetml/2006/main" count="653" uniqueCount="158">
  <si>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</si>
  <si>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</si>
  <si>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</si>
  <si>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</si>
  <si>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</si>
  <si>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</si>
  <si>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</si>
  <si>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</si>
  <si>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</si>
  <si>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</si>
  <si>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</si>
  <si>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</si>
  <si>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</si>
  <si>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</si>
  <si>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N 3</t>
  </si>
  <si>
    <t>Раздел 2. Основные показатели деятельности гарантирующих поставщиков</t>
  </si>
  <si>
    <t>N п/п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</si>
  <si>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</si>
  <si>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</si>
  <si>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</si>
  <si>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Предложения 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</si>
  <si>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</si>
  <si>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</si>
  <si>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</si>
  <si>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</si>
  <si>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</si>
  <si>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</si>
  <si>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</si>
  <si>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</si>
  <si>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</si>
  <si>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</si>
  <si>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</si>
  <si>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</si>
  <si>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</si>
  <si>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</si>
  <si>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</si>
  <si>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</si>
  <si>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</si>
  <si>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</si>
  <si>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</si>
  <si>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</si>
  <si>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</si>
  <si>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</si>
  <si>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</si>
  <si>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</si>
  <si>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</si>
  <si>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</si>
  <si>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</si>
  <si>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</si>
  <si>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</si>
  <si>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</si>
  <si>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</si>
  <si>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</si>
  <si>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</si>
  <si>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</si>
  <si>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</si>
  <si>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</si>
  <si>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</si>
  <si>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</si>
  <si>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</si>
  <si>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</si>
  <si>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</si>
  <si>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</si>
  <si>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</si>
  <si>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</si>
  <si>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</si>
  <si>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</si>
  <si>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</si>
  <si>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</si>
  <si>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</si>
  <si>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</si>
  <si>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</si>
  <si>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</si>
  <si>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</si>
  <si>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</si>
  <si>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</si>
  <si>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</si>
  <si>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</si>
  <si>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</si>
  <si>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</si>
  <si>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</si>
  <si>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</si>
  <si>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</si>
  <si>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</si>
  <si>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</si>
  <si>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</si>
  <si>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</si>
  <si>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</si>
  <si>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</si>
  <si>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</si>
  <si>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</si>
  <si>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</si>
  <si>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</si>
  <si>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</si>
  <si>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</si>
  <si>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</si>
  <si>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</si>
  <si>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</si>
  <si>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</si>
  <si>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</si>
  <si>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</si>
  <si>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</si>
  <si>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</si>
  <si>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</si>
  <si>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</si>
  <si>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</si>
  <si>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</si>
  <si>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</si>
  <si>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</si>
  <si>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</si>
  <si>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* Базовый период - год, предшествующий расчетному периоду регулирования.</t>
  </si>
  <si>
    <t>Приложение N 5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</si>
  <si>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</si>
  <si>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</si>
  <si>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</si>
  <si>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</si>
  <si>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</si>
  <si>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</si>
  <si>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</si>
  <si>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</si>
  <si>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П Р Е Д Л О Ж Е Н И Е</t>
  </si>
  <si>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</si>
  <si>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</si>
  <si>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</si>
  <si>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Показатели утвержденные на базовый период</t>
  </si>
  <si>
    <t>тыс.кВтч</t>
  </si>
  <si>
    <t>Приложение N 4</t>
  </si>
  <si>
    <t>Открытое акционерное общество "Красноярскэнергосбыт"</t>
  </si>
  <si>
    <t>ОАО "Красноярскэнергосбыт"</t>
  </si>
  <si>
    <t>Исполнительный директор Дьяченко Олег Владимирович</t>
  </si>
  <si>
    <t>660017, г.Красноярск, ул. Дубровинского, д.43</t>
  </si>
  <si>
    <t>(391) 263-99-59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</si>
  <si>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2015</t>
    </r>
    <r>
      <rPr>
        <b/>
        <sz val="11"/>
        <color rgb="FF26282F"/>
        <rFont val="Arial"/>
        <family val="2"/>
        <charset val="204"/>
      </rPr>
      <t>____________________ год</t>
    </r>
  </si>
  <si>
    <r>
      <t xml:space="preserve"> ____</t>
    </r>
    <r>
      <rPr>
        <u/>
        <sz val="11"/>
        <color theme="1"/>
        <rFont val="Arial"/>
        <family val="2"/>
        <charset val="204"/>
      </rPr>
      <t>Открытое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</si>
  <si>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ОАО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</si>
  <si>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(391) 212-08-51</t>
  </si>
  <si>
    <t>kanz@es.krasnoyarsk.ru</t>
  </si>
  <si>
    <t>-</t>
  </si>
  <si>
    <t>в плане не выделяется</t>
  </si>
  <si>
    <t>советом директоров ОАО "Красноярск-энергосбыт" 29.10.2013, протокол № 102</t>
  </si>
  <si>
    <t>советом директоров ОАО "Красноярск-энергосбыт" 29.05.2014, протокол № 109</t>
  </si>
  <si>
    <t>строка</t>
  </si>
  <si>
    <t>январь</t>
  </si>
  <si>
    <t>февраль</t>
  </si>
  <si>
    <t>март</t>
  </si>
  <si>
    <t>апрель</t>
  </si>
  <si>
    <t>май</t>
  </si>
  <si>
    <t>июнь</t>
  </si>
  <si>
    <t>форма 46-ЭЭ</t>
  </si>
  <si>
    <t>1 полугод.</t>
  </si>
  <si>
    <t>ПАО "Красноярскэнергосбыт"</t>
  </si>
  <si>
    <t>Фактические показатели за год, предшествующий базовому периоду     2015 год</t>
  </si>
  <si>
    <r>
      <t xml:space="preserve"> ____</t>
    </r>
    <r>
      <rPr>
        <u/>
        <sz val="11"/>
        <color theme="1"/>
        <rFont val="Arial"/>
        <family val="2"/>
        <charset val="204"/>
      </rPr>
      <t>Публичное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</si>
  <si>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ПАО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</si>
  <si>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Публичное акционерное общество "Красноярскэнергосбыт"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</si>
  <si>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2018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</si>
  <si>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2018 год</t>
  </si>
  <si>
    <t>Показатели утвержденные на базовый период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</si>
</sst>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rgb="FF26282F"/>
      <name val="Arial"/>
      <family val="2"/>
      <charset val="204"/>
    </font>
    <font>
      <u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1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" fillId="0" borderId="0" xfId="1" applyFont="1" applyAlignment="1" applyProtection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3" fontId="3" fillId="0" borderId="0" xfId="0" applyNumberFormat="1" applyFont="1"/>
    <xf numFmtId="0" fontId="7" fillId="0" borderId="0" xfId="0" applyFont="1"/>
    <xf numFmtId="0" fontId="7" fillId="0" borderId="7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3" fillId="0" borderId="0" xfId="0" applyNumberFormat="1" applyFont="1"/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 wrapText="1"/>
    </xf>
    <xf numFmtId="165" fontId="7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52654200"/>
          <a:ext cx="97155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3425725"/>
          <a:ext cx="971550" cy="161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9428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752800"/>
          <a:ext cx="723900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z@es.krasnoyars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z@es.krasnoyars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abSelected="1" workbookViewId="0">
      <selection activeCell="I170" sqref="I170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57" customWidth="1"/>
    <col min="5" max="6" width="15.28515625" style="57" customWidth="1"/>
    <col min="7" max="7" width="13.140625" style="1" customWidth="1"/>
    <col min="8" max="8" width="11.5703125" style="1" customWidth="1"/>
    <col min="9" max="9" width="13.42578125" style="1" customWidth="1"/>
    <col min="10" max="13" width="9.140625" style="1"/>
    <col min="14" max="15" width="10.140625" style="1" bestFit="1" customWidth="1"/>
    <col min="16" max="16384" width="9.140625" style="1"/>
  </cols>
  <sheetData>
    <row r="1" spans="1:6" ht="15" x14ac:dyDescent="0.2">
      <c r="A1" s="108" t="s">
        <v>120</v>
      </c>
      <c r="B1" s="108"/>
      <c r="C1" s="108"/>
      <c r="D1" s="108"/>
      <c r="E1" s="108"/>
      <c r="F1" s="108"/>
    </row>
    <row r="2" spans="1:6" ht="15" x14ac:dyDescent="0.25">
      <c r="A2" s="98" t="s">
        <v>121</v>
      </c>
      <c r="B2" s="98"/>
      <c r="C2" s="98"/>
      <c r="D2" s="98"/>
      <c r="E2" s="98"/>
      <c r="F2" s="98"/>
    </row>
    <row r="3" spans="1:6" ht="15" x14ac:dyDescent="0.25">
      <c r="A3" s="98" t="s">
        <v>155</v>
      </c>
      <c r="B3" s="98"/>
      <c r="C3" s="98"/>
      <c r="D3" s="98"/>
      <c r="E3" s="98"/>
      <c r="F3" s="98"/>
    </row>
    <row r="4" spans="1:6" ht="15" x14ac:dyDescent="0.25">
      <c r="A4" s="98" t="s">
        <v>122</v>
      </c>
      <c r="B4" s="98"/>
      <c r="C4" s="98"/>
      <c r="D4" s="98"/>
      <c r="E4" s="98"/>
      <c r="F4" s="98"/>
    </row>
    <row r="5" spans="1:6" ht="23.25" customHeight="1" x14ac:dyDescent="0.2">
      <c r="A5" s="97" t="s">
        <v>152</v>
      </c>
      <c r="B5" s="97"/>
      <c r="C5" s="97"/>
      <c r="D5" s="97"/>
      <c r="E5" s="97"/>
      <c r="F5" s="97"/>
    </row>
    <row r="6" spans="1:6" x14ac:dyDescent="0.2">
      <c r="A6" s="97" t="s">
        <v>123</v>
      </c>
      <c r="B6" s="97"/>
      <c r="C6" s="97"/>
      <c r="D6" s="97"/>
      <c r="E6" s="97"/>
      <c r="F6" s="97"/>
    </row>
    <row r="7" spans="1:6" ht="22.5" customHeight="1" x14ac:dyDescent="0.2">
      <c r="A7" s="97" t="s">
        <v>153</v>
      </c>
      <c r="B7" s="97"/>
      <c r="C7" s="97"/>
      <c r="D7" s="97"/>
      <c r="E7" s="97"/>
      <c r="F7" s="97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98" t="s">
        <v>3</v>
      </c>
      <c r="B16" s="98"/>
      <c r="C16" s="98"/>
      <c r="D16" s="98"/>
      <c r="E16" s="98"/>
      <c r="F16" s="98"/>
    </row>
    <row r="17" spans="1:3" x14ac:dyDescent="0.2">
      <c r="A17" s="5"/>
    </row>
    <row r="18" spans="1:3" x14ac:dyDescent="0.2">
      <c r="A18" s="97" t="s">
        <v>4</v>
      </c>
      <c r="B18" s="97"/>
      <c r="C18" s="2" t="s">
        <v>154</v>
      </c>
    </row>
    <row r="19" spans="1:3" x14ac:dyDescent="0.2">
      <c r="A19" s="5"/>
    </row>
    <row r="20" spans="1:3" x14ac:dyDescent="0.2">
      <c r="A20" s="97" t="s">
        <v>5</v>
      </c>
      <c r="B20" s="97"/>
      <c r="C20" s="3" t="s">
        <v>150</v>
      </c>
    </row>
    <row r="21" spans="1:3" x14ac:dyDescent="0.2">
      <c r="A21" s="5"/>
    </row>
    <row r="22" spans="1:3" x14ac:dyDescent="0.2">
      <c r="A22" s="97" t="s">
        <v>6</v>
      </c>
      <c r="B22" s="97"/>
      <c r="C22" s="2" t="s">
        <v>130</v>
      </c>
    </row>
    <row r="23" spans="1:3" x14ac:dyDescent="0.2">
      <c r="A23" s="5"/>
    </row>
    <row r="24" spans="1:3" x14ac:dyDescent="0.2">
      <c r="A24" s="97" t="s">
        <v>7</v>
      </c>
      <c r="B24" s="97"/>
      <c r="C24" s="2" t="s">
        <v>130</v>
      </c>
    </row>
    <row r="25" spans="1:3" x14ac:dyDescent="0.2">
      <c r="A25" s="5"/>
    </row>
    <row r="26" spans="1:3" x14ac:dyDescent="0.2">
      <c r="A26" s="97" t="s">
        <v>8</v>
      </c>
      <c r="B26" s="97"/>
      <c r="C26" s="4">
        <v>2466132221</v>
      </c>
    </row>
    <row r="27" spans="1:3" x14ac:dyDescent="0.2">
      <c r="A27" s="5"/>
    </row>
    <row r="28" spans="1:3" x14ac:dyDescent="0.2">
      <c r="A28" s="97" t="s">
        <v>9</v>
      </c>
      <c r="B28" s="97"/>
      <c r="C28" s="3">
        <v>246750001</v>
      </c>
    </row>
    <row r="29" spans="1:3" x14ac:dyDescent="0.2">
      <c r="A29" s="5"/>
    </row>
    <row r="30" spans="1:3" x14ac:dyDescent="0.2">
      <c r="A30" s="97" t="s">
        <v>10</v>
      </c>
      <c r="B30" s="97"/>
      <c r="C30" s="2" t="s">
        <v>129</v>
      </c>
    </row>
    <row r="31" spans="1:3" x14ac:dyDescent="0.2">
      <c r="A31" s="5"/>
    </row>
    <row r="32" spans="1:3" ht="15" x14ac:dyDescent="0.25">
      <c r="A32" s="97" t="s">
        <v>11</v>
      </c>
      <c r="B32" s="97"/>
      <c r="C32" s="10" t="s">
        <v>136</v>
      </c>
    </row>
    <row r="33" spans="1:10" x14ac:dyDescent="0.2">
      <c r="A33" s="5"/>
    </row>
    <row r="34" spans="1:10" x14ac:dyDescent="0.2">
      <c r="A34" s="97" t="s">
        <v>12</v>
      </c>
      <c r="B34" s="97"/>
      <c r="C34" s="2" t="s">
        <v>131</v>
      </c>
    </row>
    <row r="35" spans="1:10" x14ac:dyDescent="0.2">
      <c r="A35" s="5"/>
    </row>
    <row r="36" spans="1:10" x14ac:dyDescent="0.2">
      <c r="A36" s="97" t="s">
        <v>13</v>
      </c>
      <c r="B36" s="97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98" t="s">
        <v>15</v>
      </c>
      <c r="B46" s="98"/>
      <c r="C46" s="98"/>
      <c r="D46" s="98"/>
      <c r="E46" s="98"/>
      <c r="F46" s="98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76" t="s">
        <v>18</v>
      </c>
      <c r="D48" s="58" t="s">
        <v>151</v>
      </c>
      <c r="E48" s="82" t="s">
        <v>157</v>
      </c>
      <c r="F48" s="58" t="s">
        <v>156</v>
      </c>
    </row>
    <row r="49" spans="1:15" ht="30.75" customHeight="1" x14ac:dyDescent="0.2">
      <c r="A49" s="27" t="s">
        <v>21</v>
      </c>
      <c r="B49" s="30" t="s">
        <v>22</v>
      </c>
      <c r="C49" s="31" t="s">
        <v>125</v>
      </c>
      <c r="D49" s="59">
        <f>D51+D101+D114</f>
        <v>13580193.516000001</v>
      </c>
      <c r="E49" s="83">
        <f>E51+E101+E114</f>
        <v>12250073.177026659</v>
      </c>
      <c r="F49" s="59">
        <f>F51+F101+F114</f>
        <v>12201413.690219121</v>
      </c>
      <c r="G49" s="81"/>
    </row>
    <row r="50" spans="1:15" ht="21.75" customHeight="1" x14ac:dyDescent="0.2">
      <c r="A50" s="36"/>
      <c r="B50" s="30" t="s">
        <v>23</v>
      </c>
      <c r="C50" s="37"/>
      <c r="D50" s="60"/>
      <c r="E50" s="84"/>
      <c r="F50" s="61"/>
    </row>
    <row r="51" spans="1:15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3371407.7170000002</v>
      </c>
      <c r="E51" s="83">
        <f>E52+E55+E94</f>
        <v>3430370.7002123278</v>
      </c>
      <c r="F51" s="59">
        <f>F52+F55+F94</f>
        <v>3518024.3372191209</v>
      </c>
      <c r="G51" s="93"/>
      <c r="H51" s="94"/>
      <c r="I51" s="93"/>
      <c r="N51" s="56">
        <f>SUM(H51:M51)</f>
        <v>0</v>
      </c>
      <c r="O51" s="56">
        <f>G51-N51</f>
        <v>0</v>
      </c>
    </row>
    <row r="52" spans="1:15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2047295.074</v>
      </c>
      <c r="E52" s="83">
        <f t="shared" ref="E52" si="0">E60+E67+E88</f>
        <v>2138628.8544131704</v>
      </c>
      <c r="F52" s="59">
        <f t="shared" ref="F52:F55" si="1">F60+F67+F88</f>
        <v>2345493</v>
      </c>
      <c r="G52" s="91"/>
      <c r="H52" s="91"/>
      <c r="I52" s="91"/>
      <c r="N52" s="56">
        <f t="shared" ref="N52:N93" si="2">SUM(H52:M52)</f>
        <v>0</v>
      </c>
      <c r="O52" s="56">
        <f t="shared" ref="O52:O93" si="3">G52-N52</f>
        <v>0</v>
      </c>
    </row>
    <row r="53" spans="1:15" ht="21" customHeight="1" x14ac:dyDescent="0.2">
      <c r="A53" s="36"/>
      <c r="B53" s="30" t="s">
        <v>28</v>
      </c>
      <c r="C53" s="31" t="s">
        <v>125</v>
      </c>
      <c r="D53" s="59">
        <f t="shared" ref="D53:D54" si="4">D61+D68+D75+D82+D89+D96</f>
        <v>1030612.047</v>
      </c>
      <c r="E53" s="83">
        <f t="shared" ref="E53" si="5">E61+E68+E89</f>
        <v>1029831.5348760788</v>
      </c>
      <c r="F53" s="59">
        <f t="shared" si="1"/>
        <v>1209584</v>
      </c>
      <c r="G53" s="56"/>
      <c r="H53" s="91"/>
      <c r="I53" s="91"/>
      <c r="N53" s="56">
        <f t="shared" si="2"/>
        <v>0</v>
      </c>
      <c r="O53" s="56">
        <f t="shared" si="3"/>
        <v>0</v>
      </c>
    </row>
    <row r="54" spans="1:15" ht="23.25" customHeight="1" x14ac:dyDescent="0.2">
      <c r="A54" s="36"/>
      <c r="B54" s="30" t="s">
        <v>29</v>
      </c>
      <c r="C54" s="31" t="s">
        <v>125</v>
      </c>
      <c r="D54" s="59">
        <f t="shared" si="4"/>
        <v>1016683.027</v>
      </c>
      <c r="E54" s="83">
        <f t="shared" ref="E54" si="6">E62+E69+E90</f>
        <v>1108797.3195370915</v>
      </c>
      <c r="F54" s="59">
        <f t="shared" si="1"/>
        <v>1135909</v>
      </c>
      <c r="G54" s="56"/>
      <c r="N54" s="56">
        <f t="shared" si="2"/>
        <v>0</v>
      </c>
      <c r="O54" s="56">
        <f t="shared" si="3"/>
        <v>0</v>
      </c>
    </row>
    <row r="55" spans="1:15" ht="22.5" customHeight="1" x14ac:dyDescent="0.2">
      <c r="A55" s="27" t="s">
        <v>30</v>
      </c>
      <c r="B55" s="30" t="s">
        <v>31</v>
      </c>
      <c r="C55" s="31" t="s">
        <v>125</v>
      </c>
      <c r="D55" s="59">
        <f>D63++D70+D77+D84+D91+D98</f>
        <v>1324112.6429999999</v>
      </c>
      <c r="E55" s="83">
        <f t="shared" ref="E55" si="7">E63+E70+E91</f>
        <v>1094581.8457991572</v>
      </c>
      <c r="F55" s="59">
        <f t="shared" si="1"/>
        <v>966445.33721912117</v>
      </c>
      <c r="N55" s="56">
        <f t="shared" si="2"/>
        <v>0</v>
      </c>
      <c r="O55" s="56">
        <f t="shared" si="3"/>
        <v>0</v>
      </c>
    </row>
    <row r="56" spans="1:15" ht="20.25" customHeight="1" x14ac:dyDescent="0.2">
      <c r="A56" s="36"/>
      <c r="B56" s="30" t="s">
        <v>28</v>
      </c>
      <c r="C56" s="31" t="s">
        <v>125</v>
      </c>
      <c r="D56" s="59">
        <f>D64++D71+D78+D85+D92+D99</f>
        <v>699625.05599999998</v>
      </c>
      <c r="E56" s="83">
        <f>E64++E71+E92</f>
        <v>634662.76587198954</v>
      </c>
      <c r="F56" s="59">
        <f>F64++F71+F92</f>
        <v>499256.33721912117</v>
      </c>
      <c r="N56" s="56">
        <f t="shared" si="2"/>
        <v>0</v>
      </c>
      <c r="O56" s="56">
        <f t="shared" si="3"/>
        <v>0</v>
      </c>
    </row>
    <row r="57" spans="1:15" ht="21" customHeight="1" x14ac:dyDescent="0.2">
      <c r="A57" s="36"/>
      <c r="B57" s="30" t="s">
        <v>29</v>
      </c>
      <c r="C57" s="31" t="s">
        <v>125</v>
      </c>
      <c r="D57" s="59">
        <f>D65++D72+D79+D86+D93+D100</f>
        <v>624487.58700000006</v>
      </c>
      <c r="E57" s="83">
        <f>E65++E72+E93</f>
        <v>459919.07992716768</v>
      </c>
      <c r="F57" s="59">
        <f>F65++F72+F93</f>
        <v>467189</v>
      </c>
      <c r="N57" s="56">
        <f t="shared" si="2"/>
        <v>0</v>
      </c>
      <c r="O57" s="56">
        <f t="shared" si="3"/>
        <v>0</v>
      </c>
    </row>
    <row r="58" spans="1:15" ht="19.5" customHeight="1" x14ac:dyDescent="0.2">
      <c r="A58" s="36"/>
      <c r="B58" s="30" t="s">
        <v>23</v>
      </c>
      <c r="C58" s="31" t="s">
        <v>125</v>
      </c>
      <c r="D58" s="61"/>
      <c r="E58" s="84"/>
      <c r="F58" s="61"/>
      <c r="N58" s="56">
        <f t="shared" si="2"/>
        <v>0</v>
      </c>
      <c r="O58" s="56">
        <f t="shared" si="3"/>
        <v>0</v>
      </c>
    </row>
    <row r="59" spans="1:15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372126.95500000002</v>
      </c>
      <c r="E59" s="83">
        <f>E60+E63</f>
        <v>398465.70021232771</v>
      </c>
      <c r="F59" s="59">
        <f>F60+F63</f>
        <v>431315.3772191212</v>
      </c>
      <c r="G59" s="91"/>
      <c r="H59" s="91"/>
      <c r="I59" s="91"/>
      <c r="N59" s="56">
        <f t="shared" si="2"/>
        <v>0</v>
      </c>
      <c r="O59" s="56">
        <f t="shared" si="3"/>
        <v>0</v>
      </c>
    </row>
    <row r="60" spans="1:15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251326.421</v>
      </c>
      <c r="E60" s="83">
        <f>E61+E62</f>
        <v>284243.35441317048</v>
      </c>
      <c r="F60" s="59">
        <f>F61+F62</f>
        <v>339963</v>
      </c>
      <c r="G60" s="91"/>
      <c r="H60" s="91"/>
      <c r="I60" s="91"/>
      <c r="N60" s="56">
        <f t="shared" si="2"/>
        <v>0</v>
      </c>
      <c r="O60" s="56">
        <f t="shared" si="3"/>
        <v>0</v>
      </c>
    </row>
    <row r="61" spans="1:15" ht="19.5" customHeight="1" x14ac:dyDescent="0.2">
      <c r="A61" s="36"/>
      <c r="B61" s="30" t="s">
        <v>28</v>
      </c>
      <c r="C61" s="31" t="s">
        <v>125</v>
      </c>
      <c r="D61" s="59">
        <v>126683.497</v>
      </c>
      <c r="E61" s="83">
        <v>139476.03487607883</v>
      </c>
      <c r="F61" s="59">
        <v>175256</v>
      </c>
      <c r="G61" s="91"/>
      <c r="H61" s="91"/>
      <c r="I61" s="91"/>
      <c r="N61" s="56">
        <f t="shared" si="2"/>
        <v>0</v>
      </c>
      <c r="O61" s="56">
        <f t="shared" si="3"/>
        <v>0</v>
      </c>
    </row>
    <row r="62" spans="1:15" ht="21" customHeight="1" x14ac:dyDescent="0.2">
      <c r="A62" s="36"/>
      <c r="B62" s="30" t="s">
        <v>29</v>
      </c>
      <c r="C62" s="31" t="s">
        <v>125</v>
      </c>
      <c r="D62" s="59">
        <v>124642.924</v>
      </c>
      <c r="E62" s="83">
        <v>144767.31953709162</v>
      </c>
      <c r="F62" s="59">
        <v>164707</v>
      </c>
      <c r="N62" s="56">
        <f t="shared" si="2"/>
        <v>0</v>
      </c>
      <c r="O62" s="56">
        <f t="shared" si="3"/>
        <v>0</v>
      </c>
    </row>
    <row r="63" spans="1:15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120800.534</v>
      </c>
      <c r="E63" s="83">
        <f>E64+E65</f>
        <v>114222.34579915722</v>
      </c>
      <c r="F63" s="59">
        <f>F64+F65</f>
        <v>91352.377219121205</v>
      </c>
      <c r="N63" s="56">
        <f t="shared" si="2"/>
        <v>0</v>
      </c>
      <c r="O63" s="56">
        <f t="shared" si="3"/>
        <v>0</v>
      </c>
    </row>
    <row r="64" spans="1:15" ht="20.25" customHeight="1" x14ac:dyDescent="0.2">
      <c r="A64" s="36"/>
      <c r="B64" s="30" t="s">
        <v>28</v>
      </c>
      <c r="C64" s="31" t="s">
        <v>125</v>
      </c>
      <c r="D64" s="59">
        <v>64403.394</v>
      </c>
      <c r="E64" s="83">
        <v>65068.265871989541</v>
      </c>
      <c r="F64" s="59">
        <v>46917.377219121205</v>
      </c>
      <c r="N64" s="56">
        <f t="shared" si="2"/>
        <v>0</v>
      </c>
      <c r="O64" s="56">
        <f t="shared" si="3"/>
        <v>0</v>
      </c>
    </row>
    <row r="65" spans="1:15" ht="21.75" customHeight="1" x14ac:dyDescent="0.2">
      <c r="A65" s="36"/>
      <c r="B65" s="30" t="s">
        <v>29</v>
      </c>
      <c r="C65" s="31" t="s">
        <v>125</v>
      </c>
      <c r="D65" s="59">
        <v>56397.14</v>
      </c>
      <c r="E65" s="83">
        <v>49154.079927167688</v>
      </c>
      <c r="F65" s="59">
        <v>44435</v>
      </c>
      <c r="N65" s="56">
        <f t="shared" si="2"/>
        <v>0</v>
      </c>
      <c r="O65" s="56">
        <f t="shared" si="3"/>
        <v>0</v>
      </c>
    </row>
    <row r="66" spans="1:15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1011246.801</v>
      </c>
      <c r="E66" s="83">
        <f>E67+E70</f>
        <v>1887867</v>
      </c>
      <c r="F66" s="59">
        <f>F67+F70</f>
        <v>1866519</v>
      </c>
      <c r="G66" s="23"/>
      <c r="N66" s="56">
        <f t="shared" si="2"/>
        <v>0</v>
      </c>
      <c r="O66" s="56">
        <f t="shared" si="3"/>
        <v>0</v>
      </c>
    </row>
    <row r="67" spans="1:15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697006.69799999997</v>
      </c>
      <c r="E67" s="83">
        <f>E68+E69</f>
        <v>1296969</v>
      </c>
      <c r="F67" s="59">
        <f>F68+F69</f>
        <v>1313424</v>
      </c>
      <c r="G67" s="80"/>
      <c r="N67" s="56">
        <f t="shared" si="2"/>
        <v>0</v>
      </c>
      <c r="O67" s="56">
        <f t="shared" si="3"/>
        <v>0</v>
      </c>
    </row>
    <row r="68" spans="1:15" ht="25.5" customHeight="1" x14ac:dyDescent="0.2">
      <c r="A68" s="36"/>
      <c r="B68" s="30" t="s">
        <v>28</v>
      </c>
      <c r="C68" s="31" t="s">
        <v>125</v>
      </c>
      <c r="D68" s="62">
        <v>355509.28100000002</v>
      </c>
      <c r="E68" s="83">
        <f>607617+1513</f>
        <v>609130</v>
      </c>
      <c r="F68" s="59">
        <f>674902+1536</f>
        <v>676438</v>
      </c>
      <c r="N68" s="56">
        <f t="shared" si="2"/>
        <v>0</v>
      </c>
      <c r="O68" s="56">
        <f t="shared" si="3"/>
        <v>0</v>
      </c>
    </row>
    <row r="69" spans="1:15" ht="25.5" customHeight="1" x14ac:dyDescent="0.2">
      <c r="A69" s="36"/>
      <c r="B69" s="30" t="s">
        <v>29</v>
      </c>
      <c r="C69" s="31" t="s">
        <v>125</v>
      </c>
      <c r="D69" s="62">
        <v>341497.41699999996</v>
      </c>
      <c r="E69" s="59">
        <f>686336+1503</f>
        <v>687839</v>
      </c>
      <c r="F69" s="59">
        <f>635450+1536</f>
        <v>636986</v>
      </c>
      <c r="N69" s="56">
        <f t="shared" si="2"/>
        <v>0</v>
      </c>
      <c r="O69" s="56">
        <f t="shared" si="3"/>
        <v>0</v>
      </c>
    </row>
    <row r="70" spans="1:15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314240.10300000006</v>
      </c>
      <c r="E70" s="83">
        <f>E71+E72</f>
        <v>590898</v>
      </c>
      <c r="F70" s="59">
        <f>F71+F72</f>
        <v>553095</v>
      </c>
      <c r="N70" s="56">
        <f t="shared" si="2"/>
        <v>0</v>
      </c>
      <c r="O70" s="56">
        <f t="shared" si="3"/>
        <v>0</v>
      </c>
    </row>
    <row r="71" spans="1:15" ht="24.75" customHeight="1" x14ac:dyDescent="0.2">
      <c r="A71" s="36"/>
      <c r="B71" s="30" t="s">
        <v>28</v>
      </c>
      <c r="C71" s="31" t="s">
        <v>125</v>
      </c>
      <c r="D71" s="62">
        <v>158368.13200000001</v>
      </c>
      <c r="E71" s="83">
        <f>337303+764</f>
        <v>338067</v>
      </c>
      <c r="F71" s="59">
        <f>285562+813</f>
        <v>286375</v>
      </c>
      <c r="N71" s="56">
        <f t="shared" si="2"/>
        <v>0</v>
      </c>
      <c r="O71" s="56">
        <f t="shared" si="3"/>
        <v>0</v>
      </c>
    </row>
    <row r="72" spans="1:15" ht="24" customHeight="1" x14ac:dyDescent="0.2">
      <c r="A72" s="36"/>
      <c r="B72" s="30" t="s">
        <v>29</v>
      </c>
      <c r="C72" s="31" t="s">
        <v>125</v>
      </c>
      <c r="D72" s="62">
        <v>155871.97100000005</v>
      </c>
      <c r="E72" s="83">
        <f>252174+657</f>
        <v>252831</v>
      </c>
      <c r="F72" s="59">
        <f>266050+670</f>
        <v>266720</v>
      </c>
      <c r="N72" s="56">
        <f t="shared" si="2"/>
        <v>0</v>
      </c>
      <c r="O72" s="56">
        <f t="shared" si="3"/>
        <v>0</v>
      </c>
    </row>
    <row r="73" spans="1:15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3">
        <f t="shared" ref="E73:F73" si="8">E74+E77</f>
        <v>0</v>
      </c>
      <c r="F73" s="59">
        <f t="shared" si="8"/>
        <v>0</v>
      </c>
      <c r="N73" s="56">
        <f t="shared" si="2"/>
        <v>0</v>
      </c>
      <c r="O73" s="56">
        <f t="shared" si="3"/>
        <v>0</v>
      </c>
    </row>
    <row r="74" spans="1:15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3">
        <f t="shared" ref="E74:F74" si="9">E75+E76</f>
        <v>0</v>
      </c>
      <c r="F74" s="59">
        <f t="shared" si="9"/>
        <v>0</v>
      </c>
      <c r="N74" s="56">
        <f t="shared" si="2"/>
        <v>0</v>
      </c>
      <c r="O74" s="56">
        <f t="shared" si="3"/>
        <v>0</v>
      </c>
    </row>
    <row r="75" spans="1:15" ht="24" customHeight="1" x14ac:dyDescent="0.2">
      <c r="A75" s="36"/>
      <c r="B75" s="30" t="s">
        <v>28</v>
      </c>
      <c r="C75" s="31" t="s">
        <v>125</v>
      </c>
      <c r="D75" s="59"/>
      <c r="E75" s="83"/>
      <c r="F75" s="59"/>
      <c r="N75" s="56">
        <f t="shared" si="2"/>
        <v>0</v>
      </c>
      <c r="O75" s="56">
        <f t="shared" si="3"/>
        <v>0</v>
      </c>
    </row>
    <row r="76" spans="1:15" ht="24" customHeight="1" x14ac:dyDescent="0.2">
      <c r="A76" s="36"/>
      <c r="B76" s="30" t="s">
        <v>29</v>
      </c>
      <c r="C76" s="31" t="s">
        <v>125</v>
      </c>
      <c r="D76" s="59"/>
      <c r="E76" s="83"/>
      <c r="F76" s="59"/>
      <c r="N76" s="56">
        <f t="shared" si="2"/>
        <v>0</v>
      </c>
      <c r="O76" s="56">
        <f t="shared" si="3"/>
        <v>0</v>
      </c>
    </row>
    <row r="77" spans="1:15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3">
        <f t="shared" ref="E77:F77" si="10">E78+E79</f>
        <v>0</v>
      </c>
      <c r="F77" s="59">
        <f t="shared" si="10"/>
        <v>0</v>
      </c>
      <c r="N77" s="56">
        <f t="shared" si="2"/>
        <v>0</v>
      </c>
      <c r="O77" s="56">
        <f t="shared" si="3"/>
        <v>0</v>
      </c>
    </row>
    <row r="78" spans="1:15" ht="24.75" customHeight="1" x14ac:dyDescent="0.2">
      <c r="A78" s="36"/>
      <c r="B78" s="30" t="s">
        <v>28</v>
      </c>
      <c r="C78" s="31" t="s">
        <v>125</v>
      </c>
      <c r="D78" s="59"/>
      <c r="E78" s="83"/>
      <c r="F78" s="59"/>
      <c r="N78" s="56">
        <f t="shared" si="2"/>
        <v>0</v>
      </c>
      <c r="O78" s="56">
        <f t="shared" si="3"/>
        <v>0</v>
      </c>
    </row>
    <row r="79" spans="1:15" ht="22.5" customHeight="1" x14ac:dyDescent="0.2">
      <c r="A79" s="36"/>
      <c r="B79" s="30" t="s">
        <v>29</v>
      </c>
      <c r="C79" s="31" t="s">
        <v>125</v>
      </c>
      <c r="D79" s="59"/>
      <c r="E79" s="83"/>
      <c r="F79" s="59"/>
      <c r="N79" s="56">
        <f t="shared" si="2"/>
        <v>0</v>
      </c>
      <c r="O79" s="56">
        <f t="shared" si="3"/>
        <v>0</v>
      </c>
    </row>
    <row r="80" spans="1:15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68456.209999999992</v>
      </c>
      <c r="E80" s="83">
        <f t="shared" ref="E80:F80" si="11">E81+E84</f>
        <v>0</v>
      </c>
      <c r="F80" s="59">
        <f t="shared" si="11"/>
        <v>0</v>
      </c>
      <c r="N80" s="56">
        <f t="shared" si="2"/>
        <v>0</v>
      </c>
      <c r="O80" s="56">
        <f t="shared" si="3"/>
        <v>0</v>
      </c>
    </row>
    <row r="81" spans="1:15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17800.359</v>
      </c>
      <c r="E81" s="83">
        <f t="shared" ref="E81:F81" si="12">E82+E83</f>
        <v>0</v>
      </c>
      <c r="F81" s="59">
        <f t="shared" si="12"/>
        <v>0</v>
      </c>
      <c r="N81" s="56">
        <f t="shared" si="2"/>
        <v>0</v>
      </c>
      <c r="O81" s="56">
        <f t="shared" si="3"/>
        <v>0</v>
      </c>
    </row>
    <row r="82" spans="1:15" ht="25.5" customHeight="1" x14ac:dyDescent="0.2">
      <c r="A82" s="36"/>
      <c r="B82" s="30" t="s">
        <v>28</v>
      </c>
      <c r="C82" s="31" t="s">
        <v>125</v>
      </c>
      <c r="D82" s="59">
        <v>9240.0759999999991</v>
      </c>
      <c r="E82" s="83"/>
      <c r="F82" s="59"/>
      <c r="N82" s="56">
        <f t="shared" si="2"/>
        <v>0</v>
      </c>
      <c r="O82" s="56">
        <f t="shared" si="3"/>
        <v>0</v>
      </c>
    </row>
    <row r="83" spans="1:15" ht="25.5" customHeight="1" x14ac:dyDescent="0.2">
      <c r="A83" s="36"/>
      <c r="B83" s="30" t="s">
        <v>29</v>
      </c>
      <c r="C83" s="31" t="s">
        <v>125</v>
      </c>
      <c r="D83" s="59">
        <v>8560.2830000000013</v>
      </c>
      <c r="E83" s="83"/>
      <c r="F83" s="59"/>
      <c r="N83" s="56">
        <f t="shared" si="2"/>
        <v>0</v>
      </c>
      <c r="O83" s="56">
        <f t="shared" si="3"/>
        <v>0</v>
      </c>
    </row>
    <row r="84" spans="1:15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50655.850999999995</v>
      </c>
      <c r="E84" s="83">
        <f t="shared" ref="E84:F84" si="13">E85+E86</f>
        <v>0</v>
      </c>
      <c r="F84" s="59">
        <f t="shared" si="13"/>
        <v>0</v>
      </c>
      <c r="N84" s="56">
        <f t="shared" si="2"/>
        <v>0</v>
      </c>
      <c r="O84" s="56">
        <f t="shared" si="3"/>
        <v>0</v>
      </c>
    </row>
    <row r="85" spans="1:15" ht="25.5" customHeight="1" x14ac:dyDescent="0.2">
      <c r="A85" s="36"/>
      <c r="B85" s="30" t="s">
        <v>28</v>
      </c>
      <c r="C85" s="31" t="s">
        <v>125</v>
      </c>
      <c r="D85" s="59">
        <v>30506.75</v>
      </c>
      <c r="E85" s="83"/>
      <c r="F85" s="59"/>
      <c r="N85" s="56">
        <f t="shared" si="2"/>
        <v>0</v>
      </c>
      <c r="O85" s="56">
        <f t="shared" si="3"/>
        <v>0</v>
      </c>
    </row>
    <row r="86" spans="1:15" ht="24.75" customHeight="1" x14ac:dyDescent="0.2">
      <c r="A86" s="36"/>
      <c r="B86" s="30" t="s">
        <v>29</v>
      </c>
      <c r="C86" s="31" t="s">
        <v>125</v>
      </c>
      <c r="D86" s="59">
        <v>20149.100999999995</v>
      </c>
      <c r="E86" s="83"/>
      <c r="F86" s="59"/>
      <c r="N86" s="56">
        <f t="shared" si="2"/>
        <v>0</v>
      </c>
      <c r="O86" s="56">
        <f t="shared" si="3"/>
        <v>0</v>
      </c>
    </row>
    <row r="87" spans="1:15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988782.60100000002</v>
      </c>
      <c r="E87" s="83">
        <f>E88+E91</f>
        <v>946878</v>
      </c>
      <c r="F87" s="59">
        <f>F88+F91</f>
        <v>1014103.96</v>
      </c>
      <c r="N87" s="56">
        <f t="shared" si="2"/>
        <v>0</v>
      </c>
      <c r="O87" s="56">
        <f t="shared" si="3"/>
        <v>0</v>
      </c>
    </row>
    <row r="88" spans="1:15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527596.05300000007</v>
      </c>
      <c r="E88" s="83">
        <f>E89+E90</f>
        <v>557416.5</v>
      </c>
      <c r="F88" s="59">
        <f>F89+F90</f>
        <v>692106</v>
      </c>
      <c r="N88" s="56">
        <f t="shared" si="2"/>
        <v>0</v>
      </c>
      <c r="O88" s="56">
        <f t="shared" si="3"/>
        <v>0</v>
      </c>
    </row>
    <row r="89" spans="1:15" ht="24.75" customHeight="1" x14ac:dyDescent="0.2">
      <c r="A89" s="36"/>
      <c r="B89" s="30" t="s">
        <v>28</v>
      </c>
      <c r="C89" s="31" t="s">
        <v>125</v>
      </c>
      <c r="D89" s="59">
        <v>266649.17099999997</v>
      </c>
      <c r="E89" s="83">
        <f>281223.5+2</f>
        <v>281225.5</v>
      </c>
      <c r="F89" s="59">
        <f>357887+3</f>
        <v>357890</v>
      </c>
      <c r="N89" s="56">
        <f t="shared" si="2"/>
        <v>0</v>
      </c>
      <c r="O89" s="56">
        <f t="shared" si="3"/>
        <v>0</v>
      </c>
    </row>
    <row r="90" spans="1:15" ht="21.75" customHeight="1" x14ac:dyDescent="0.2">
      <c r="A90" s="36"/>
      <c r="B90" s="30" t="s">
        <v>29</v>
      </c>
      <c r="C90" s="31" t="s">
        <v>125</v>
      </c>
      <c r="D90" s="59">
        <v>260946.8820000001</v>
      </c>
      <c r="E90" s="83">
        <f>276189+2</f>
        <v>276191</v>
      </c>
      <c r="F90" s="59">
        <f>334213+3</f>
        <v>334216</v>
      </c>
      <c r="N90" s="56">
        <f>SUM(H90:M90)</f>
        <v>0</v>
      </c>
      <c r="O90" s="56">
        <f t="shared" si="3"/>
        <v>0</v>
      </c>
    </row>
    <row r="91" spans="1:15" ht="27" customHeight="1" x14ac:dyDescent="0.2">
      <c r="A91" s="27" t="s">
        <v>51</v>
      </c>
      <c r="B91" s="30" t="s">
        <v>31</v>
      </c>
      <c r="C91" s="31" t="s">
        <v>125</v>
      </c>
      <c r="D91" s="59">
        <f>D92+D93</f>
        <v>461186.54799999995</v>
      </c>
      <c r="E91" s="83">
        <f>E92+E93</f>
        <v>389461.5</v>
      </c>
      <c r="F91" s="59">
        <f>F92+F93</f>
        <v>321997.95999999996</v>
      </c>
      <c r="N91" s="56">
        <f t="shared" si="2"/>
        <v>0</v>
      </c>
      <c r="O91" s="56">
        <f t="shared" si="3"/>
        <v>0</v>
      </c>
    </row>
    <row r="92" spans="1:15" ht="25.5" customHeight="1" x14ac:dyDescent="0.2">
      <c r="A92" s="36"/>
      <c r="B92" s="30" t="s">
        <v>28</v>
      </c>
      <c r="C92" s="31" t="s">
        <v>125</v>
      </c>
      <c r="D92" s="59">
        <v>248946.77699999997</v>
      </c>
      <c r="E92" s="83">
        <f>231524.5+3</f>
        <v>231527.5</v>
      </c>
      <c r="F92" s="59">
        <f>165961.96+2</f>
        <v>165963.96</v>
      </c>
      <c r="N92" s="56">
        <f t="shared" si="2"/>
        <v>0</v>
      </c>
      <c r="O92" s="56">
        <f t="shared" si="3"/>
        <v>0</v>
      </c>
    </row>
    <row r="93" spans="1:15" ht="24" customHeight="1" x14ac:dyDescent="0.2">
      <c r="A93" s="36"/>
      <c r="B93" s="30" t="s">
        <v>29</v>
      </c>
      <c r="C93" s="31" t="s">
        <v>125</v>
      </c>
      <c r="D93" s="59">
        <v>212239.77099999998</v>
      </c>
      <c r="E93" s="83">
        <f>157932+2</f>
        <v>157934</v>
      </c>
      <c r="F93" s="59">
        <f>156032+2</f>
        <v>156034</v>
      </c>
      <c r="N93" s="56">
        <f t="shared" si="2"/>
        <v>0</v>
      </c>
      <c r="O93" s="56">
        <f t="shared" si="3"/>
        <v>0</v>
      </c>
    </row>
    <row r="94" spans="1:15" ht="32.25" customHeight="1" x14ac:dyDescent="0.2">
      <c r="A94" s="27" t="s">
        <v>52</v>
      </c>
      <c r="B94" s="30" t="s">
        <v>53</v>
      </c>
      <c r="C94" s="31" t="s">
        <v>125</v>
      </c>
      <c r="D94" s="79">
        <f>D95+D98</f>
        <v>930795.14999999991</v>
      </c>
      <c r="E94" s="78">
        <f>E95+E98</f>
        <v>197160</v>
      </c>
      <c r="F94" s="79">
        <f>F95+F98</f>
        <v>206086</v>
      </c>
      <c r="N94" s="56"/>
      <c r="O94" s="56"/>
    </row>
    <row r="95" spans="1:15" ht="29.25" customHeight="1" x14ac:dyDescent="0.2">
      <c r="A95" s="27" t="s">
        <v>54</v>
      </c>
      <c r="B95" s="30" t="s">
        <v>27</v>
      </c>
      <c r="C95" s="31" t="s">
        <v>125</v>
      </c>
      <c r="D95" s="78">
        <f>D96+D97</f>
        <v>553565.54299999995</v>
      </c>
      <c r="E95" s="78">
        <f>E96+E97</f>
        <v>119776</v>
      </c>
      <c r="F95" s="79">
        <f>F96+F97</f>
        <v>122394</v>
      </c>
      <c r="N95" s="56"/>
      <c r="O95" s="56"/>
    </row>
    <row r="96" spans="1:15" ht="25.5" customHeight="1" x14ac:dyDescent="0.2">
      <c r="A96" s="36"/>
      <c r="B96" s="30" t="s">
        <v>28</v>
      </c>
      <c r="C96" s="31" t="s">
        <v>125</v>
      </c>
      <c r="D96" s="62">
        <v>272530.022</v>
      </c>
      <c r="E96" s="78">
        <v>55608</v>
      </c>
      <c r="F96" s="40">
        <v>57294</v>
      </c>
      <c r="N96" s="56"/>
      <c r="O96" s="56"/>
    </row>
    <row r="97" spans="1:8" ht="24" customHeight="1" x14ac:dyDescent="0.2">
      <c r="A97" s="36"/>
      <c r="B97" s="30" t="s">
        <v>29</v>
      </c>
      <c r="C97" s="31" t="s">
        <v>125</v>
      </c>
      <c r="D97" s="62">
        <v>281035.52099999995</v>
      </c>
      <c r="E97" s="78">
        <v>64168</v>
      </c>
      <c r="F97" s="40">
        <v>65100</v>
      </c>
    </row>
    <row r="98" spans="1:8" ht="24" customHeight="1" x14ac:dyDescent="0.2">
      <c r="A98" s="27" t="s">
        <v>55</v>
      </c>
      <c r="B98" s="30" t="s">
        <v>31</v>
      </c>
      <c r="C98" s="31" t="s">
        <v>125</v>
      </c>
      <c r="D98" s="78">
        <f>D99+D100</f>
        <v>377229.60700000002</v>
      </c>
      <c r="E98" s="77">
        <f>E99+E100</f>
        <v>77384</v>
      </c>
      <c r="F98" s="40">
        <f>F99+F100</f>
        <v>83692</v>
      </c>
    </row>
    <row r="99" spans="1:8" ht="25.5" customHeight="1" x14ac:dyDescent="0.2">
      <c r="A99" s="36"/>
      <c r="B99" s="30" t="s">
        <v>28</v>
      </c>
      <c r="C99" s="31" t="s">
        <v>125</v>
      </c>
      <c r="D99" s="62">
        <v>197400.003</v>
      </c>
      <c r="E99" s="77">
        <v>35376</v>
      </c>
      <c r="F99" s="40">
        <v>39856</v>
      </c>
    </row>
    <row r="100" spans="1:8" ht="22.5" customHeight="1" x14ac:dyDescent="0.2">
      <c r="A100" s="36"/>
      <c r="B100" s="30" t="s">
        <v>29</v>
      </c>
      <c r="C100" s="31" t="s">
        <v>125</v>
      </c>
      <c r="D100" s="62">
        <v>179829.60400000002</v>
      </c>
      <c r="E100" s="77">
        <v>42008</v>
      </c>
      <c r="F100" s="40">
        <v>43836</v>
      </c>
    </row>
    <row r="101" spans="1:8" ht="77.25" customHeight="1" x14ac:dyDescent="0.2">
      <c r="A101" s="27" t="s">
        <v>56</v>
      </c>
      <c r="B101" s="30" t="s">
        <v>57</v>
      </c>
      <c r="C101" s="31" t="s">
        <v>125</v>
      </c>
      <c r="D101" s="59">
        <f t="shared" ref="D101:E101" si="14">D102+D105+D108+D111</f>
        <v>7600425.8440000005</v>
      </c>
      <c r="E101" s="83">
        <f t="shared" si="14"/>
        <v>6559225.2308143331</v>
      </c>
      <c r="F101" s="59">
        <f t="shared" ref="F101" si="15">F102+F105+F108+F111</f>
        <v>6498859.3320000004</v>
      </c>
      <c r="G101" s="81"/>
      <c r="H101" s="92"/>
    </row>
    <row r="102" spans="1:8" ht="21.75" customHeight="1" x14ac:dyDescent="0.2">
      <c r="A102" s="36"/>
      <c r="B102" s="30" t="s">
        <v>58</v>
      </c>
      <c r="C102" s="31" t="s">
        <v>125</v>
      </c>
      <c r="D102" s="59">
        <f t="shared" ref="D102:E102" si="16">D103+D104</f>
        <v>1609369.6680000001</v>
      </c>
      <c r="E102" s="83">
        <f t="shared" si="16"/>
        <v>1564034.2654640363</v>
      </c>
      <c r="F102" s="59">
        <f t="shared" ref="F102" si="17">F103+F104</f>
        <v>1530041.0529569942</v>
      </c>
    </row>
    <row r="103" spans="1:8" ht="23.25" customHeight="1" x14ac:dyDescent="0.2">
      <c r="A103" s="36"/>
      <c r="B103" s="30" t="s">
        <v>28</v>
      </c>
      <c r="C103" s="31" t="s">
        <v>125</v>
      </c>
      <c r="D103" s="59">
        <v>838665.86899999995</v>
      </c>
      <c r="E103" s="83">
        <v>826786.93525830365</v>
      </c>
      <c r="F103" s="59">
        <v>792793.72275126155</v>
      </c>
    </row>
    <row r="104" spans="1:8" ht="21" customHeight="1" x14ac:dyDescent="0.2">
      <c r="A104" s="36"/>
      <c r="B104" s="30" t="s">
        <v>29</v>
      </c>
      <c r="C104" s="31" t="s">
        <v>125</v>
      </c>
      <c r="D104" s="59">
        <v>770703.799</v>
      </c>
      <c r="E104" s="83">
        <v>737247.33020573272</v>
      </c>
      <c r="F104" s="59">
        <v>737247.33020573272</v>
      </c>
    </row>
    <row r="105" spans="1:8" ht="24.75" customHeight="1" x14ac:dyDescent="0.2">
      <c r="A105" s="36"/>
      <c r="B105" s="30" t="s">
        <v>59</v>
      </c>
      <c r="C105" s="31" t="s">
        <v>125</v>
      </c>
      <c r="D105" s="59">
        <f t="shared" ref="D105:E105" si="18">D106+D107</f>
        <v>1658938.8870000001</v>
      </c>
      <c r="E105" s="83">
        <f t="shared" si="18"/>
        <v>1566297.6983892308</v>
      </c>
      <c r="F105" s="59">
        <f t="shared" ref="F105" si="19">F106+F107</f>
        <v>1575829.0822201972</v>
      </c>
    </row>
    <row r="106" spans="1:8" ht="23.25" customHeight="1" x14ac:dyDescent="0.2">
      <c r="A106" s="36"/>
      <c r="B106" s="30" t="s">
        <v>28</v>
      </c>
      <c r="C106" s="31" t="s">
        <v>125</v>
      </c>
      <c r="D106" s="59">
        <v>850888.47600000002</v>
      </c>
      <c r="E106" s="83">
        <v>813020.60093565646</v>
      </c>
      <c r="F106" s="59">
        <v>822551.98476662312</v>
      </c>
    </row>
    <row r="107" spans="1:8" ht="21.75" customHeight="1" x14ac:dyDescent="0.2">
      <c r="A107" s="36"/>
      <c r="B107" s="30" t="s">
        <v>29</v>
      </c>
      <c r="C107" s="31" t="s">
        <v>125</v>
      </c>
      <c r="D107" s="59">
        <f>805902.084+2148.327</f>
        <v>808050.41100000008</v>
      </c>
      <c r="E107" s="83">
        <v>753277.09745357418</v>
      </c>
      <c r="F107" s="59">
        <v>753277.09745357418</v>
      </c>
    </row>
    <row r="108" spans="1:8" ht="23.25" customHeight="1" x14ac:dyDescent="0.2">
      <c r="A108" s="36"/>
      <c r="B108" s="30" t="s">
        <v>60</v>
      </c>
      <c r="C108" s="31" t="s">
        <v>125</v>
      </c>
      <c r="D108" s="59">
        <f t="shared" ref="D108:E108" si="20">D109+D110</f>
        <v>2562781.4450000003</v>
      </c>
      <c r="E108" s="83">
        <f t="shared" si="20"/>
        <v>2244179.7652431056</v>
      </c>
      <c r="F108" s="59">
        <f t="shared" ref="F108" si="21">F109+F110</f>
        <v>2219185.5110519007</v>
      </c>
    </row>
    <row r="109" spans="1:8" ht="24.75" customHeight="1" x14ac:dyDescent="0.2">
      <c r="A109" s="36"/>
      <c r="B109" s="30" t="s">
        <v>28</v>
      </c>
      <c r="C109" s="31" t="s">
        <v>125</v>
      </c>
      <c r="D109" s="59">
        <v>1323312.639</v>
      </c>
      <c r="E109" s="83">
        <v>1170676.6374969936</v>
      </c>
      <c r="F109" s="59">
        <v>1145682.3833057887</v>
      </c>
    </row>
    <row r="110" spans="1:8" ht="22.5" customHeight="1" x14ac:dyDescent="0.2">
      <c r="A110" s="36"/>
      <c r="B110" s="30" t="s">
        <v>29</v>
      </c>
      <c r="C110" s="31" t="s">
        <v>125</v>
      </c>
      <c r="D110" s="59">
        <v>1239468.8060000001</v>
      </c>
      <c r="E110" s="83">
        <v>1073503.1277461122</v>
      </c>
      <c r="F110" s="59">
        <v>1073503.1277461122</v>
      </c>
    </row>
    <row r="111" spans="1:8" ht="25.5" customHeight="1" x14ac:dyDescent="0.2">
      <c r="A111" s="36"/>
      <c r="B111" s="30" t="s">
        <v>61</v>
      </c>
      <c r="C111" s="31" t="s">
        <v>125</v>
      </c>
      <c r="D111" s="59">
        <f t="shared" ref="D111:E111" si="22">D112+D113</f>
        <v>1769335.844</v>
      </c>
      <c r="E111" s="83">
        <f t="shared" si="22"/>
        <v>1184713.5017179607</v>
      </c>
      <c r="F111" s="59">
        <f t="shared" ref="F111" si="23">F112+F113</f>
        <v>1173803.6857709079</v>
      </c>
    </row>
    <row r="112" spans="1:8" ht="26.25" customHeight="1" x14ac:dyDescent="0.2">
      <c r="A112" s="36"/>
      <c r="B112" s="30" t="s">
        <v>28</v>
      </c>
      <c r="C112" s="31" t="s">
        <v>125</v>
      </c>
      <c r="D112" s="59">
        <v>935550.66200000001</v>
      </c>
      <c r="E112" s="83">
        <v>624932.86912337993</v>
      </c>
      <c r="F112" s="59">
        <v>614023.05317632726</v>
      </c>
    </row>
    <row r="113" spans="1:8" ht="24" customHeight="1" x14ac:dyDescent="0.2">
      <c r="A113" s="36"/>
      <c r="B113" s="30" t="s">
        <v>29</v>
      </c>
      <c r="C113" s="31" t="s">
        <v>125</v>
      </c>
      <c r="D113" s="59">
        <v>833785.18200000003</v>
      </c>
      <c r="E113" s="83">
        <v>559780.63259458076</v>
      </c>
      <c r="F113" s="59">
        <v>559780.63259458076</v>
      </c>
    </row>
    <row r="114" spans="1:8" ht="64.5" customHeight="1" x14ac:dyDescent="0.2">
      <c r="A114" s="27" t="s">
        <v>62</v>
      </c>
      <c r="B114" s="30" t="s">
        <v>63</v>
      </c>
      <c r="C114" s="31" t="s">
        <v>125</v>
      </c>
      <c r="D114" s="83">
        <f t="shared" ref="D114:E114" si="24">D115+D116</f>
        <v>2608359.9550000001</v>
      </c>
      <c r="E114" s="83">
        <f t="shared" si="24"/>
        <v>2260477.2460000003</v>
      </c>
      <c r="F114" s="59">
        <f t="shared" ref="F114" si="25">F115+F116</f>
        <v>2184530.0209999997</v>
      </c>
      <c r="G114" s="80"/>
    </row>
    <row r="115" spans="1:8" ht="25.5" customHeight="1" x14ac:dyDescent="0.2">
      <c r="A115" s="36"/>
      <c r="B115" s="30" t="s">
        <v>64</v>
      </c>
      <c r="C115" s="31" t="s">
        <v>125</v>
      </c>
      <c r="D115" s="59">
        <v>1404827.236</v>
      </c>
      <c r="E115" s="83">
        <v>1241016.875</v>
      </c>
      <c r="F115" s="59">
        <v>1165069.6499999999</v>
      </c>
    </row>
    <row r="116" spans="1:8" ht="25.5" customHeight="1" x14ac:dyDescent="0.2">
      <c r="A116" s="36"/>
      <c r="B116" s="30" t="s">
        <v>65</v>
      </c>
      <c r="C116" s="31" t="s">
        <v>125</v>
      </c>
      <c r="D116" s="59">
        <v>1203532.719</v>
      </c>
      <c r="E116" s="83">
        <v>1019460.371</v>
      </c>
      <c r="F116" s="59">
        <v>1019460.371</v>
      </c>
      <c r="G116" s="80"/>
      <c r="H116" s="80"/>
    </row>
    <row r="117" spans="1:8" ht="28.5" x14ac:dyDescent="0.2">
      <c r="A117" s="27" t="s">
        <v>66</v>
      </c>
      <c r="B117" s="30" t="s">
        <v>67</v>
      </c>
      <c r="C117" s="31" t="s">
        <v>70</v>
      </c>
      <c r="D117" s="63">
        <f>D119+D120</f>
        <v>1019.7439999999999</v>
      </c>
      <c r="E117" s="85">
        <f t="shared" ref="E117" si="26">E119+E120</f>
        <v>1026.7650000000001</v>
      </c>
      <c r="F117" s="63">
        <f t="shared" ref="F117" si="27">F119+F120</f>
        <v>1032.5409999999999</v>
      </c>
    </row>
    <row r="118" spans="1:8" ht="18" customHeight="1" x14ac:dyDescent="0.2">
      <c r="A118" s="36"/>
      <c r="B118" s="30" t="s">
        <v>23</v>
      </c>
      <c r="C118" s="37"/>
      <c r="D118" s="64"/>
      <c r="E118" s="86"/>
      <c r="F118" s="64"/>
    </row>
    <row r="119" spans="1:8" ht="32.25" customHeight="1" x14ac:dyDescent="0.2">
      <c r="A119" s="27" t="s">
        <v>68</v>
      </c>
      <c r="B119" s="30" t="s">
        <v>69</v>
      </c>
      <c r="C119" s="31" t="s">
        <v>70</v>
      </c>
      <c r="D119" s="63">
        <f>988.608+2.558</f>
        <v>991.16599999999994</v>
      </c>
      <c r="E119" s="85">
        <f>995.707+2.581</f>
        <v>998.28800000000001</v>
      </c>
      <c r="F119" s="63">
        <f>1001.352+2.603</f>
        <v>1003.9549999999999</v>
      </c>
    </row>
    <row r="120" spans="1:8" ht="78" customHeight="1" x14ac:dyDescent="0.2">
      <c r="A120" s="27" t="s">
        <v>71</v>
      </c>
      <c r="B120" s="30" t="s">
        <v>72</v>
      </c>
      <c r="C120" s="31" t="s">
        <v>70</v>
      </c>
      <c r="D120" s="65">
        <f>D121+D122+D123+D124</f>
        <v>28.577999999999999</v>
      </c>
      <c r="E120" s="85">
        <f t="shared" ref="E120" si="28">E121+E122+E123+E124</f>
        <v>28.476999999999997</v>
      </c>
      <c r="F120" s="63">
        <f t="shared" ref="F120" si="29">F121+F122+F123+F124</f>
        <v>28.585999999999999</v>
      </c>
    </row>
    <row r="121" spans="1:8" ht="24.75" customHeight="1" x14ac:dyDescent="0.2">
      <c r="A121" s="36"/>
      <c r="B121" s="30" t="s">
        <v>58</v>
      </c>
      <c r="C121" s="31" t="s">
        <v>70</v>
      </c>
      <c r="D121" s="63">
        <v>25.094000000000001</v>
      </c>
      <c r="E121" s="85">
        <v>24.946999999999999</v>
      </c>
      <c r="F121" s="63">
        <v>25.001000000000001</v>
      </c>
    </row>
    <row r="122" spans="1:8" ht="22.5" customHeight="1" x14ac:dyDescent="0.2">
      <c r="A122" s="36"/>
      <c r="B122" s="30" t="s">
        <v>59</v>
      </c>
      <c r="C122" s="31" t="s">
        <v>70</v>
      </c>
      <c r="D122" s="85">
        <v>3.0059999999999998</v>
      </c>
      <c r="E122" s="85">
        <v>3.0630000000000002</v>
      </c>
      <c r="F122" s="63">
        <v>3.1179999999999999</v>
      </c>
    </row>
    <row r="123" spans="1:8" ht="21" customHeight="1" x14ac:dyDescent="0.2">
      <c r="A123" s="36"/>
      <c r="B123" s="30" t="s">
        <v>60</v>
      </c>
      <c r="C123" s="31" t="s">
        <v>70</v>
      </c>
      <c r="D123" s="85">
        <v>0.45500000000000002</v>
      </c>
      <c r="E123" s="85">
        <v>0.442</v>
      </c>
      <c r="F123" s="63">
        <v>0.442</v>
      </c>
    </row>
    <row r="124" spans="1:8" ht="24" customHeight="1" x14ac:dyDescent="0.2">
      <c r="A124" s="36"/>
      <c r="B124" s="30" t="s">
        <v>61</v>
      </c>
      <c r="C124" s="31" t="s">
        <v>70</v>
      </c>
      <c r="D124" s="85">
        <v>2.3E-2</v>
      </c>
      <c r="E124" s="85">
        <v>2.5000000000000001E-2</v>
      </c>
      <c r="F124" s="63">
        <v>2.5000000000000001E-2</v>
      </c>
    </row>
    <row r="125" spans="1:8" ht="62.25" customHeight="1" x14ac:dyDescent="0.2">
      <c r="A125" s="27" t="s">
        <v>73</v>
      </c>
      <c r="B125" s="30" t="s">
        <v>74</v>
      </c>
      <c r="C125" s="31" t="s">
        <v>70</v>
      </c>
      <c r="D125" s="65">
        <v>6.0999999999999999E-2</v>
      </c>
      <c r="E125" s="85">
        <v>5.3999999999999999E-2</v>
      </c>
      <c r="F125" s="63">
        <v>5.3999999999999999E-2</v>
      </c>
    </row>
    <row r="126" spans="1:8" ht="35.25" customHeight="1" x14ac:dyDescent="0.2">
      <c r="A126" s="27" t="s">
        <v>75</v>
      </c>
      <c r="B126" s="15" t="s">
        <v>76</v>
      </c>
      <c r="C126" s="31" t="s">
        <v>79</v>
      </c>
      <c r="D126" s="62">
        <f>D128+D129</f>
        <v>1124651</v>
      </c>
      <c r="E126" s="87">
        <f>E128+E129</f>
        <v>1121048</v>
      </c>
      <c r="F126" s="62">
        <f>F128+F129</f>
        <v>1128073</v>
      </c>
    </row>
    <row r="127" spans="1:8" ht="24.75" customHeight="1" x14ac:dyDescent="0.2">
      <c r="A127" s="36"/>
      <c r="B127" s="30" t="s">
        <v>23</v>
      </c>
      <c r="C127" s="37"/>
      <c r="D127" s="62"/>
      <c r="E127" s="87"/>
      <c r="F127" s="62"/>
    </row>
    <row r="128" spans="1:8" ht="33" customHeight="1" x14ac:dyDescent="0.2">
      <c r="A128" s="27" t="s">
        <v>77</v>
      </c>
      <c r="B128" s="15" t="s">
        <v>78</v>
      </c>
      <c r="C128" s="31" t="s">
        <v>79</v>
      </c>
      <c r="D128" s="62">
        <f>1014418+19393</f>
        <v>1033811</v>
      </c>
      <c r="E128" s="87">
        <f>1021517+13216</f>
        <v>1034733</v>
      </c>
      <c r="F128" s="62">
        <f>1027342+13416</f>
        <v>1040758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62">
        <f>D130+D131+D132+D133</f>
        <v>90840</v>
      </c>
      <c r="E129" s="87">
        <f t="shared" ref="E129" si="30">E130+E131+E132+E133</f>
        <v>86315</v>
      </c>
      <c r="F129" s="62">
        <f t="shared" ref="F129" si="31">F130+F131+F132+F133</f>
        <v>87315</v>
      </c>
    </row>
    <row r="130" spans="1:6" ht="24.75" customHeight="1" x14ac:dyDescent="0.2">
      <c r="A130" s="36"/>
      <c r="B130" s="38" t="s">
        <v>58</v>
      </c>
      <c r="C130" s="18" t="s">
        <v>79</v>
      </c>
      <c r="D130" s="62">
        <v>64293</v>
      </c>
      <c r="E130" s="87">
        <v>59508</v>
      </c>
      <c r="F130" s="62">
        <v>60508</v>
      </c>
    </row>
    <row r="131" spans="1:6" ht="26.25" customHeight="1" x14ac:dyDescent="0.2">
      <c r="A131" s="36"/>
      <c r="B131" s="38" t="s">
        <v>59</v>
      </c>
      <c r="C131" s="18" t="s">
        <v>79</v>
      </c>
      <c r="D131" s="62">
        <v>18599</v>
      </c>
      <c r="E131" s="87">
        <v>18272</v>
      </c>
      <c r="F131" s="62">
        <v>18272</v>
      </c>
    </row>
    <row r="132" spans="1:6" ht="26.25" customHeight="1" x14ac:dyDescent="0.2">
      <c r="A132" s="36"/>
      <c r="B132" s="38" t="s">
        <v>60</v>
      </c>
      <c r="C132" s="18" t="s">
        <v>79</v>
      </c>
      <c r="D132" s="62">
        <v>6557</v>
      </c>
      <c r="E132" s="87">
        <v>7318</v>
      </c>
      <c r="F132" s="62">
        <v>7318</v>
      </c>
    </row>
    <row r="133" spans="1:6" ht="25.5" customHeight="1" x14ac:dyDescent="0.2">
      <c r="A133" s="36"/>
      <c r="B133" s="38" t="s">
        <v>61</v>
      </c>
      <c r="C133" s="18" t="s">
        <v>79</v>
      </c>
      <c r="D133" s="62">
        <v>1391</v>
      </c>
      <c r="E133" s="87">
        <v>1217</v>
      </c>
      <c r="F133" s="62">
        <v>1217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62" t="s">
        <v>137</v>
      </c>
      <c r="E134" s="87" t="s">
        <v>137</v>
      </c>
      <c r="F134" s="62" t="s">
        <v>137</v>
      </c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62">
        <v>3218263.88</v>
      </c>
      <c r="E135" s="87">
        <v>2030138.33</v>
      </c>
      <c r="F135" s="62">
        <v>5011209.1449999996</v>
      </c>
    </row>
    <row r="136" spans="1:6" ht="42.75" x14ac:dyDescent="0.2">
      <c r="A136" s="27" t="s">
        <v>87</v>
      </c>
      <c r="B136" s="15" t="s">
        <v>88</v>
      </c>
      <c r="C136" s="16"/>
      <c r="D136" s="66"/>
      <c r="E136" s="88"/>
      <c r="F136" s="66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87">
        <v>1080</v>
      </c>
      <c r="E137" s="87">
        <v>1125</v>
      </c>
      <c r="F137" s="62">
        <v>1134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95">
        <v>51.622</v>
      </c>
      <c r="E138" s="96">
        <v>53.942999999999998</v>
      </c>
      <c r="F138" s="95">
        <v>64.88</v>
      </c>
    </row>
    <row r="139" spans="1:6" ht="47.25" customHeight="1" x14ac:dyDescent="0.2">
      <c r="A139" s="27" t="s">
        <v>95</v>
      </c>
      <c r="B139" s="15" t="s">
        <v>96</v>
      </c>
      <c r="C139" s="16"/>
      <c r="D139" s="62" t="s">
        <v>137</v>
      </c>
      <c r="E139" s="87" t="s">
        <v>137</v>
      </c>
      <c r="F139" s="62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62">
        <v>0</v>
      </c>
      <c r="E140" s="87">
        <v>32163.8305</v>
      </c>
      <c r="F140" s="62">
        <v>167944.35200000001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62">
        <v>682694</v>
      </c>
      <c r="E141" s="87">
        <v>389192.05499999999</v>
      </c>
      <c r="F141" s="62">
        <v>2593537.531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62">
        <v>651426.98600000003</v>
      </c>
      <c r="E142" s="87">
        <v>166677.5</v>
      </c>
      <c r="F142" s="62">
        <v>179639.32699999999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62" t="s">
        <v>137</v>
      </c>
      <c r="E143" s="87" t="s">
        <v>137</v>
      </c>
      <c r="F143" s="62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74">
        <v>20.241565295303975</v>
      </c>
      <c r="E144" s="89">
        <v>8.2101548287592845</v>
      </c>
      <c r="F144" s="74">
        <v>3.584750142868693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67" t="s">
        <v>137</v>
      </c>
      <c r="E145" s="90" t="s">
        <v>137</v>
      </c>
      <c r="F145" s="67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68"/>
      <c r="E147" s="68"/>
      <c r="F147" s="68"/>
      <c r="G147" s="23"/>
      <c r="H147" s="23"/>
    </row>
    <row r="148" spans="1:10" x14ac:dyDescent="0.2">
      <c r="A148" s="101"/>
      <c r="B148" s="101"/>
      <c r="C148" s="101"/>
      <c r="D148" s="101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G154" s="7"/>
      <c r="J154" s="7" t="s">
        <v>111</v>
      </c>
    </row>
    <row r="155" spans="1:10" ht="15" x14ac:dyDescent="0.25">
      <c r="A155" s="11"/>
      <c r="G155" s="9"/>
      <c r="J155" s="9" t="s">
        <v>0</v>
      </c>
    </row>
    <row r="156" spans="1:10" ht="15" x14ac:dyDescent="0.25">
      <c r="A156" s="11"/>
      <c r="G156" s="7"/>
    </row>
    <row r="157" spans="1:10" ht="15" x14ac:dyDescent="0.25">
      <c r="A157" s="11"/>
      <c r="G157" s="7"/>
    </row>
    <row r="158" spans="1:10" ht="15" x14ac:dyDescent="0.25">
      <c r="A158" s="11"/>
    </row>
    <row r="159" spans="1:10" ht="15.75" thickBot="1" x14ac:dyDescent="0.3">
      <c r="A159" s="102" t="s">
        <v>112</v>
      </c>
      <c r="B159" s="102"/>
      <c r="C159" s="102"/>
      <c r="D159" s="102"/>
      <c r="E159" s="102"/>
      <c r="F159" s="102"/>
    </row>
    <row r="160" spans="1:10" ht="51.75" customHeight="1" thickBot="1" x14ac:dyDescent="0.25">
      <c r="A160" s="103" t="s">
        <v>16</v>
      </c>
      <c r="B160" s="103" t="s">
        <v>17</v>
      </c>
      <c r="C160" s="103" t="s">
        <v>18</v>
      </c>
      <c r="D160" s="105" t="s">
        <v>19</v>
      </c>
      <c r="E160" s="106"/>
      <c r="F160" s="107" t="s">
        <v>124</v>
      </c>
      <c r="G160" s="100"/>
      <c r="H160" s="99" t="s">
        <v>20</v>
      </c>
      <c r="I160" s="100"/>
    </row>
    <row r="161" spans="1:9" ht="32.25" customHeight="1" thickBot="1" x14ac:dyDescent="0.25">
      <c r="A161" s="104"/>
      <c r="B161" s="104"/>
      <c r="C161" s="104"/>
      <c r="D161" s="69" t="s">
        <v>113</v>
      </c>
      <c r="E161" s="69" t="s">
        <v>114</v>
      </c>
      <c r="F161" s="58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70"/>
      <c r="E162" s="71"/>
      <c r="F162" s="71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70"/>
      <c r="E163" s="71"/>
      <c r="F163" s="71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8">
        <f>171.74/1.18</f>
        <v>145.54237288135596</v>
      </c>
      <c r="E164" s="28">
        <f>179.3/1.18</f>
        <v>151.9491525423729</v>
      </c>
      <c r="F164" s="28">
        <f>179.3/1.18</f>
        <v>151.9491525423729</v>
      </c>
      <c r="G164" s="28">
        <f>179.3/1.18</f>
        <v>151.9491525423729</v>
      </c>
      <c r="H164" s="28">
        <f>179.3/1.18</f>
        <v>151.9491525423729</v>
      </c>
      <c r="I164" s="28">
        <v>286.26</v>
      </c>
    </row>
    <row r="165" spans="1:9" ht="78" customHeight="1" x14ac:dyDescent="0.2">
      <c r="A165" s="14" t="s">
        <v>80</v>
      </c>
      <c r="B165" s="15" t="s">
        <v>117</v>
      </c>
      <c r="C165" s="15"/>
      <c r="D165" s="27">
        <v>76.400000000000006</v>
      </c>
      <c r="E165" s="27">
        <v>76.400000000000006</v>
      </c>
      <c r="F165" s="27">
        <v>76.400000000000006</v>
      </c>
      <c r="G165" s="27">
        <v>76.400000000000006</v>
      </c>
      <c r="H165" s="27">
        <v>76.400000000000006</v>
      </c>
      <c r="I165" s="28">
        <v>1294.46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70"/>
      <c r="E166" s="71"/>
      <c r="F166" s="71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72">
        <v>18.22</v>
      </c>
      <c r="E167" s="72">
        <v>18.22</v>
      </c>
      <c r="F167" s="72">
        <v>18.22</v>
      </c>
      <c r="G167" s="14">
        <v>18.22</v>
      </c>
      <c r="H167" s="14">
        <v>18.22</v>
      </c>
      <c r="I167" s="14">
        <v>21.62</v>
      </c>
    </row>
    <row r="168" spans="1:9" ht="23.25" customHeight="1" x14ac:dyDescent="0.2">
      <c r="A168" s="17"/>
      <c r="B168" s="15" t="s">
        <v>59</v>
      </c>
      <c r="C168" s="14" t="s">
        <v>107</v>
      </c>
      <c r="D168" s="72">
        <v>17.32</v>
      </c>
      <c r="E168" s="72">
        <v>17.32</v>
      </c>
      <c r="F168" s="72">
        <v>17.32</v>
      </c>
      <c r="G168" s="14">
        <v>17.32</v>
      </c>
      <c r="H168" s="14">
        <v>17.32</v>
      </c>
      <c r="I168" s="14">
        <v>20.55</v>
      </c>
    </row>
    <row r="169" spans="1:9" ht="21.75" customHeight="1" x14ac:dyDescent="0.2">
      <c r="A169" s="17"/>
      <c r="B169" s="15" t="s">
        <v>60</v>
      </c>
      <c r="C169" s="14" t="s">
        <v>107</v>
      </c>
      <c r="D169" s="72">
        <v>10.98</v>
      </c>
      <c r="E169" s="72">
        <v>10.98</v>
      </c>
      <c r="F169" s="72">
        <v>10.98</v>
      </c>
      <c r="G169" s="14">
        <v>10.98</v>
      </c>
      <c r="H169" s="14">
        <v>10.98</v>
      </c>
      <c r="I169" s="14">
        <v>13.03</v>
      </c>
    </row>
    <row r="170" spans="1:9" ht="23.25" customHeight="1" thickBot="1" x14ac:dyDescent="0.25">
      <c r="A170" s="22"/>
      <c r="B170" s="20" t="s">
        <v>61</v>
      </c>
      <c r="C170" s="75" t="s">
        <v>107</v>
      </c>
      <c r="D170" s="73">
        <v>5.98</v>
      </c>
      <c r="E170" s="73">
        <v>5.98</v>
      </c>
      <c r="F170" s="73">
        <v>5.98</v>
      </c>
      <c r="G170" s="75">
        <v>5.98</v>
      </c>
      <c r="H170" s="75">
        <v>5.98</v>
      </c>
      <c r="I170" s="111">
        <v>7.1</v>
      </c>
    </row>
    <row r="171" spans="1:9" x14ac:dyDescent="0.2">
      <c r="A171" s="97"/>
      <c r="B171" s="97"/>
      <c r="C171" s="97"/>
      <c r="D171" s="97"/>
      <c r="E171" s="97"/>
      <c r="F171" s="97"/>
      <c r="G171" s="97"/>
    </row>
    <row r="172" spans="1:9" x14ac:dyDescent="0.2">
      <c r="A172" s="23" t="s">
        <v>110</v>
      </c>
      <c r="B172" s="23"/>
      <c r="C172" s="23"/>
      <c r="D172" s="68"/>
      <c r="E172" s="68"/>
      <c r="F172" s="68"/>
    </row>
    <row r="173" spans="1:9" x14ac:dyDescent="0.2">
      <c r="A173" s="5"/>
    </row>
  </sheetData>
  <mergeCells count="28">
    <mergeCell ref="A24:B24"/>
    <mergeCell ref="A1:F1"/>
    <mergeCell ref="A2:F2"/>
    <mergeCell ref="A3:F3"/>
    <mergeCell ref="A4:F4"/>
    <mergeCell ref="A5:F5"/>
    <mergeCell ref="A6:F6"/>
    <mergeCell ref="A7:F7"/>
    <mergeCell ref="A16:F16"/>
    <mergeCell ref="A18:B18"/>
    <mergeCell ref="A20:B20"/>
    <mergeCell ref="A22:B22"/>
    <mergeCell ref="A26:B26"/>
    <mergeCell ref="A28:B28"/>
    <mergeCell ref="A30:B30"/>
    <mergeCell ref="A32:B32"/>
    <mergeCell ref="A34:B34"/>
    <mergeCell ref="A36:B36"/>
    <mergeCell ref="A46:F46"/>
    <mergeCell ref="H160:I160"/>
    <mergeCell ref="A171:G171"/>
    <mergeCell ref="A148:D148"/>
    <mergeCell ref="A159:F159"/>
    <mergeCell ref="A160:A161"/>
    <mergeCell ref="B160:B161"/>
    <mergeCell ref="C160:C161"/>
    <mergeCell ref="D160:E160"/>
    <mergeCell ref="F160:G160"/>
  </mergeCells>
  <hyperlinks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37" workbookViewId="0">
      <selection activeCell="I49" sqref="I49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1" customWidth="1"/>
    <col min="5" max="6" width="15.28515625" style="1" customWidth="1"/>
    <col min="7" max="7" width="13.140625" style="1" customWidth="1"/>
    <col min="8" max="8" width="11.5703125" style="1" customWidth="1"/>
    <col min="9" max="9" width="13.42578125" style="1" customWidth="1"/>
    <col min="10" max="16384" width="9.140625" style="1"/>
  </cols>
  <sheetData>
    <row r="1" spans="1:6" ht="15" x14ac:dyDescent="0.2">
      <c r="A1" s="108" t="s">
        <v>120</v>
      </c>
      <c r="B1" s="108"/>
      <c r="C1" s="108"/>
      <c r="D1" s="108"/>
      <c r="E1" s="108"/>
      <c r="F1" s="108"/>
    </row>
    <row r="2" spans="1:6" ht="15" x14ac:dyDescent="0.25">
      <c r="A2" s="98" t="s">
        <v>121</v>
      </c>
      <c r="B2" s="98"/>
      <c r="C2" s="98"/>
      <c r="D2" s="98"/>
      <c r="E2" s="98"/>
      <c r="F2" s="98"/>
    </row>
    <row r="3" spans="1:6" ht="15" x14ac:dyDescent="0.25">
      <c r="A3" s="98" t="s">
        <v>132</v>
      </c>
      <c r="B3" s="98"/>
      <c r="C3" s="98"/>
      <c r="D3" s="98"/>
      <c r="E3" s="98"/>
      <c r="F3" s="98"/>
    </row>
    <row r="4" spans="1:6" ht="15" x14ac:dyDescent="0.25">
      <c r="A4" s="98" t="s">
        <v>122</v>
      </c>
      <c r="B4" s="98"/>
      <c r="C4" s="98"/>
      <c r="D4" s="98"/>
      <c r="E4" s="98"/>
      <c r="F4" s="98"/>
    </row>
    <row r="5" spans="1:6" ht="23.25" customHeight="1" x14ac:dyDescent="0.2">
      <c r="A5" s="97" t="s">
        <v>133</v>
      </c>
      <c r="B5" s="97"/>
      <c r="C5" s="97"/>
      <c r="D5" s="97"/>
      <c r="E5" s="97"/>
      <c r="F5" s="97"/>
    </row>
    <row r="6" spans="1:6" x14ac:dyDescent="0.2">
      <c r="A6" s="97" t="s">
        <v>123</v>
      </c>
      <c r="B6" s="97"/>
      <c r="C6" s="97"/>
      <c r="D6" s="97"/>
      <c r="E6" s="97"/>
      <c r="F6" s="97"/>
    </row>
    <row r="7" spans="1:6" ht="22.5" customHeight="1" x14ac:dyDescent="0.2">
      <c r="A7" s="97" t="s">
        <v>134</v>
      </c>
      <c r="B7" s="97"/>
      <c r="C7" s="97"/>
      <c r="D7" s="97"/>
      <c r="E7" s="97"/>
      <c r="F7" s="97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  <c r="E11" s="7" t="s">
        <v>14</v>
      </c>
    </row>
    <row r="12" spans="1:6" ht="15" x14ac:dyDescent="0.25">
      <c r="A12" s="8"/>
      <c r="C12" s="8"/>
      <c r="D12" s="8"/>
      <c r="E12" s="9" t="s">
        <v>0</v>
      </c>
    </row>
    <row r="13" spans="1:6" ht="15" x14ac:dyDescent="0.25">
      <c r="A13" s="6"/>
      <c r="C13" s="6"/>
      <c r="D13" s="6"/>
      <c r="E13" s="7" t="s">
        <v>1</v>
      </c>
    </row>
    <row r="14" spans="1:6" ht="15" x14ac:dyDescent="0.25">
      <c r="A14" s="6"/>
      <c r="C14" s="6"/>
      <c r="D14" s="6"/>
      <c r="E14" s="7" t="s">
        <v>2</v>
      </c>
    </row>
    <row r="16" spans="1:6" ht="15" x14ac:dyDescent="0.25">
      <c r="A16" s="98" t="s">
        <v>3</v>
      </c>
      <c r="B16" s="98"/>
      <c r="C16" s="98"/>
      <c r="D16" s="98"/>
      <c r="E16" s="98"/>
      <c r="F16" s="98"/>
    </row>
    <row r="17" spans="1:3" x14ac:dyDescent="0.2">
      <c r="A17" s="5"/>
    </row>
    <row r="18" spans="1:3" x14ac:dyDescent="0.2">
      <c r="A18" s="97" t="s">
        <v>4</v>
      </c>
      <c r="B18" s="97"/>
      <c r="C18" s="2" t="s">
        <v>127</v>
      </c>
    </row>
    <row r="19" spans="1:3" x14ac:dyDescent="0.2">
      <c r="A19" s="5"/>
    </row>
    <row r="20" spans="1:3" x14ac:dyDescent="0.2">
      <c r="A20" s="97" t="s">
        <v>5</v>
      </c>
      <c r="B20" s="97"/>
      <c r="C20" s="3" t="s">
        <v>128</v>
      </c>
    </row>
    <row r="21" spans="1:3" x14ac:dyDescent="0.2">
      <c r="A21" s="5"/>
    </row>
    <row r="22" spans="1:3" x14ac:dyDescent="0.2">
      <c r="A22" s="97" t="s">
        <v>6</v>
      </c>
      <c r="B22" s="97"/>
      <c r="C22" s="2" t="s">
        <v>130</v>
      </c>
    </row>
    <row r="23" spans="1:3" x14ac:dyDescent="0.2">
      <c r="A23" s="5"/>
    </row>
    <row r="24" spans="1:3" x14ac:dyDescent="0.2">
      <c r="A24" s="97" t="s">
        <v>7</v>
      </c>
      <c r="B24" s="97"/>
      <c r="C24" s="2" t="s">
        <v>130</v>
      </c>
    </row>
    <row r="25" spans="1:3" x14ac:dyDescent="0.2">
      <c r="A25" s="5"/>
    </row>
    <row r="26" spans="1:3" x14ac:dyDescent="0.2">
      <c r="A26" s="97" t="s">
        <v>8</v>
      </c>
      <c r="B26" s="97"/>
      <c r="C26" s="4">
        <v>2466132221</v>
      </c>
    </row>
    <row r="27" spans="1:3" x14ac:dyDescent="0.2">
      <c r="A27" s="5"/>
    </row>
    <row r="28" spans="1:3" x14ac:dyDescent="0.2">
      <c r="A28" s="97" t="s">
        <v>9</v>
      </c>
      <c r="B28" s="97"/>
      <c r="C28" s="3">
        <v>246750001</v>
      </c>
    </row>
    <row r="29" spans="1:3" x14ac:dyDescent="0.2">
      <c r="A29" s="5"/>
    </row>
    <row r="30" spans="1:3" x14ac:dyDescent="0.2">
      <c r="A30" s="97" t="s">
        <v>10</v>
      </c>
      <c r="B30" s="97"/>
      <c r="C30" s="2" t="s">
        <v>129</v>
      </c>
    </row>
    <row r="31" spans="1:3" x14ac:dyDescent="0.2">
      <c r="A31" s="5"/>
    </row>
    <row r="32" spans="1:3" ht="15" x14ac:dyDescent="0.25">
      <c r="A32" s="97" t="s">
        <v>11</v>
      </c>
      <c r="B32" s="97"/>
      <c r="C32" s="10" t="s">
        <v>136</v>
      </c>
    </row>
    <row r="33" spans="1:10" x14ac:dyDescent="0.2">
      <c r="A33" s="5"/>
    </row>
    <row r="34" spans="1:10" x14ac:dyDescent="0.2">
      <c r="A34" s="97" t="s">
        <v>12</v>
      </c>
      <c r="B34" s="97"/>
      <c r="C34" s="2" t="s">
        <v>131</v>
      </c>
    </row>
    <row r="35" spans="1:10" x14ac:dyDescent="0.2">
      <c r="A35" s="5"/>
    </row>
    <row r="36" spans="1:10" x14ac:dyDescent="0.2">
      <c r="A36" s="97" t="s">
        <v>13</v>
      </c>
      <c r="B36" s="97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98" t="s">
        <v>15</v>
      </c>
      <c r="B46" s="98"/>
      <c r="C46" s="98"/>
      <c r="D46" s="98"/>
      <c r="E46" s="98"/>
      <c r="F46" s="98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13" t="s">
        <v>18</v>
      </c>
      <c r="D48" s="12" t="s">
        <v>19</v>
      </c>
      <c r="E48" s="13" t="s">
        <v>124</v>
      </c>
      <c r="F48" s="12" t="s">
        <v>20</v>
      </c>
    </row>
    <row r="49" spans="1:6" ht="30.75" customHeight="1" x14ac:dyDescent="0.2">
      <c r="A49" s="27" t="s">
        <v>21</v>
      </c>
      <c r="B49" s="30" t="s">
        <v>22</v>
      </c>
      <c r="C49" s="31"/>
      <c r="D49" s="33">
        <v>14766574.210000001</v>
      </c>
      <c r="E49" s="34">
        <v>15211480</v>
      </c>
      <c r="F49" s="41">
        <v>14534225</v>
      </c>
    </row>
    <row r="50" spans="1:6" ht="21.75" customHeight="1" x14ac:dyDescent="0.2">
      <c r="A50" s="36"/>
      <c r="B50" s="30" t="s">
        <v>23</v>
      </c>
      <c r="C50" s="37"/>
      <c r="D50" s="36"/>
      <c r="E50" s="37"/>
      <c r="F50" s="36"/>
    </row>
    <row r="51" spans="1:6" ht="33" customHeight="1" x14ac:dyDescent="0.2">
      <c r="A51" s="27" t="s">
        <v>24</v>
      </c>
      <c r="B51" s="30" t="s">
        <v>25</v>
      </c>
      <c r="C51" s="31" t="s">
        <v>125</v>
      </c>
      <c r="D51" s="33">
        <v>3227605.6359999999</v>
      </c>
      <c r="E51" s="34">
        <v>3440510</v>
      </c>
      <c r="F51" s="33">
        <v>3440000</v>
      </c>
    </row>
    <row r="52" spans="1:6" ht="24" customHeight="1" x14ac:dyDescent="0.2">
      <c r="A52" s="27" t="s">
        <v>26</v>
      </c>
      <c r="B52" s="30" t="s">
        <v>27</v>
      </c>
      <c r="C52" s="31" t="s">
        <v>125</v>
      </c>
      <c r="D52" s="33">
        <f>D53+D54</f>
        <v>2083169.7919999999</v>
      </c>
      <c r="E52" s="33">
        <f t="shared" ref="E52:F52" si="0">E53+E54</f>
        <v>2408360</v>
      </c>
      <c r="F52" s="33">
        <f t="shared" si="0"/>
        <v>2405694</v>
      </c>
    </row>
    <row r="53" spans="1:6" ht="21" customHeight="1" x14ac:dyDescent="0.2">
      <c r="A53" s="36"/>
      <c r="B53" s="30" t="s">
        <v>28</v>
      </c>
      <c r="C53" s="31" t="s">
        <v>125</v>
      </c>
      <c r="D53" s="33">
        <v>1070377.4709999999</v>
      </c>
      <c r="E53" s="34">
        <v>1204430</v>
      </c>
      <c r="F53" s="33">
        <f>628416+994+168573+336839+88671+13976</f>
        <v>1237469</v>
      </c>
    </row>
    <row r="54" spans="1:6" ht="23.25" customHeight="1" x14ac:dyDescent="0.2">
      <c r="A54" s="36"/>
      <c r="B54" s="30" t="s">
        <v>29</v>
      </c>
      <c r="C54" s="31" t="s">
        <v>125</v>
      </c>
      <c r="D54" s="33">
        <f>169594.417+173217.734+171443.306+173801.016+163497.375+161238.473</f>
        <v>1012792.321</v>
      </c>
      <c r="E54" s="34">
        <v>1203930</v>
      </c>
      <c r="F54" s="33">
        <f>593207+983+159140+317991+83710+13194</f>
        <v>1168225</v>
      </c>
    </row>
    <row r="55" spans="1:6" ht="22.5" customHeight="1" x14ac:dyDescent="0.2">
      <c r="A55" s="27" t="s">
        <v>30</v>
      </c>
      <c r="B55" s="30" t="s">
        <v>31</v>
      </c>
      <c r="C55" s="31" t="s">
        <v>125</v>
      </c>
      <c r="D55" s="33">
        <f>D56+D57</f>
        <v>1144435.844</v>
      </c>
      <c r="E55" s="33">
        <f t="shared" ref="E55" si="1">E56+E57</f>
        <v>1032150</v>
      </c>
      <c r="F55" s="33">
        <f t="shared" ref="F55" si="2">F56+F57</f>
        <v>1034304</v>
      </c>
    </row>
    <row r="56" spans="1:6" ht="20.25" customHeight="1" x14ac:dyDescent="0.2">
      <c r="A56" s="36"/>
      <c r="B56" s="30" t="s">
        <v>28</v>
      </c>
      <c r="C56" s="31" t="s">
        <v>125</v>
      </c>
      <c r="D56" s="33">
        <v>615443.21400000004</v>
      </c>
      <c r="E56" s="34">
        <v>526200</v>
      </c>
      <c r="F56" s="33">
        <f>310657+605+52474+168301</f>
        <v>532037</v>
      </c>
    </row>
    <row r="57" spans="1:6" ht="21" customHeight="1" x14ac:dyDescent="0.2">
      <c r="A57" s="36"/>
      <c r="B57" s="30" t="s">
        <v>29</v>
      </c>
      <c r="C57" s="31" t="s">
        <v>125</v>
      </c>
      <c r="D57" s="33">
        <f>105686.709+102794.258+90904.062+79144.729+77936.445+72526.427</f>
        <v>528992.63</v>
      </c>
      <c r="E57" s="34">
        <v>505950</v>
      </c>
      <c r="F57" s="33">
        <f>293272+573+49538+158884</f>
        <v>502267</v>
      </c>
    </row>
    <row r="58" spans="1:6" ht="19.5" customHeight="1" x14ac:dyDescent="0.2">
      <c r="A58" s="36"/>
      <c r="B58" s="30" t="s">
        <v>23</v>
      </c>
      <c r="C58" s="31" t="s">
        <v>125</v>
      </c>
      <c r="D58" s="36"/>
      <c r="E58" s="37"/>
      <c r="F58" s="36"/>
    </row>
    <row r="59" spans="1:6" ht="73.5" customHeight="1" x14ac:dyDescent="0.2">
      <c r="A59" s="27" t="s">
        <v>32</v>
      </c>
      <c r="B59" s="30" t="s">
        <v>33</v>
      </c>
      <c r="C59" s="31" t="s">
        <v>125</v>
      </c>
      <c r="D59" s="33">
        <f>D60+D63</f>
        <v>387755.84400000004</v>
      </c>
      <c r="E59" s="33">
        <f t="shared" ref="E59:F59" si="3">E60+E63</f>
        <v>438581.79376069352</v>
      </c>
      <c r="F59" s="33">
        <f t="shared" si="3"/>
        <v>429725</v>
      </c>
    </row>
    <row r="60" spans="1:6" ht="24.75" customHeight="1" x14ac:dyDescent="0.2">
      <c r="A60" s="27" t="s">
        <v>34</v>
      </c>
      <c r="B60" s="30" t="s">
        <v>27</v>
      </c>
      <c r="C60" s="31" t="s">
        <v>125</v>
      </c>
      <c r="D60" s="33">
        <f>D61+D62</f>
        <v>274288.12800000003</v>
      </c>
      <c r="E60" s="33">
        <f t="shared" ref="E60" si="4">E61+E62</f>
        <v>335070.7372206935</v>
      </c>
      <c r="F60" s="33">
        <f t="shared" ref="F60" si="5">F61+F62</f>
        <v>327713</v>
      </c>
    </row>
    <row r="61" spans="1:6" ht="19.5" customHeight="1" x14ac:dyDescent="0.2">
      <c r="A61" s="36"/>
      <c r="B61" s="30" t="s">
        <v>28</v>
      </c>
      <c r="C61" s="31" t="s">
        <v>125</v>
      </c>
      <c r="D61" s="33">
        <v>143099.50900000005</v>
      </c>
      <c r="E61" s="34">
        <v>167861.0272206935</v>
      </c>
      <c r="F61" s="33">
        <v>168573</v>
      </c>
    </row>
    <row r="62" spans="1:6" ht="21" customHeight="1" x14ac:dyDescent="0.2">
      <c r="A62" s="36"/>
      <c r="B62" s="30" t="s">
        <v>29</v>
      </c>
      <c r="C62" s="31" t="s">
        <v>125</v>
      </c>
      <c r="D62" s="33">
        <f>22299.08+22486.764+22143.923+21881.957+21724.759+20652.136</f>
        <v>131188.61899999998</v>
      </c>
      <c r="E62" s="34">
        <v>167209.71</v>
      </c>
      <c r="F62" s="33">
        <v>159140</v>
      </c>
    </row>
    <row r="63" spans="1:6" ht="22.5" customHeight="1" x14ac:dyDescent="0.2">
      <c r="A63" s="27" t="s">
        <v>35</v>
      </c>
      <c r="B63" s="30" t="s">
        <v>31</v>
      </c>
      <c r="C63" s="31" t="s">
        <v>125</v>
      </c>
      <c r="D63" s="33">
        <f>D64+D65</f>
        <v>113467.716</v>
      </c>
      <c r="E63" s="33">
        <f t="shared" ref="E63" si="6">E64+E65</f>
        <v>103511.05654000001</v>
      </c>
      <c r="F63" s="33">
        <f t="shared" ref="F63" si="7">F64+F65</f>
        <v>102012</v>
      </c>
    </row>
    <row r="64" spans="1:6" ht="20.25" customHeight="1" x14ac:dyDescent="0.2">
      <c r="A64" s="36"/>
      <c r="B64" s="30" t="s">
        <v>28</v>
      </c>
      <c r="C64" s="31" t="s">
        <v>125</v>
      </c>
      <c r="D64" s="33">
        <v>61455.91</v>
      </c>
      <c r="E64" s="34">
        <v>51776.715640000002</v>
      </c>
      <c r="F64" s="33">
        <v>52474</v>
      </c>
    </row>
    <row r="65" spans="1:6" ht="21.75" customHeight="1" x14ac:dyDescent="0.2">
      <c r="A65" s="36"/>
      <c r="B65" s="30" t="s">
        <v>29</v>
      </c>
      <c r="C65" s="31" t="s">
        <v>125</v>
      </c>
      <c r="D65" s="33">
        <f>10789.758+9226.796+9154.467+7709.744+7235.852+7895.189</f>
        <v>52011.805999999997</v>
      </c>
      <c r="E65" s="34">
        <v>51734.340900000003</v>
      </c>
      <c r="F65" s="33">
        <v>49538</v>
      </c>
    </row>
    <row r="66" spans="1:6" ht="70.5" customHeight="1" x14ac:dyDescent="0.2">
      <c r="A66" s="27" t="s">
        <v>36</v>
      </c>
      <c r="B66" s="30" t="s">
        <v>37</v>
      </c>
      <c r="C66" s="31" t="s">
        <v>125</v>
      </c>
      <c r="D66" s="33">
        <f>D67+D70</f>
        <v>1051257.547</v>
      </c>
      <c r="E66" s="33">
        <f t="shared" ref="E66:F66" si="8">E67+E70</f>
        <v>1809267.9949797527</v>
      </c>
      <c r="F66" s="33">
        <f t="shared" si="8"/>
        <v>1825552</v>
      </c>
    </row>
    <row r="67" spans="1:6" ht="25.5" customHeight="1" x14ac:dyDescent="0.2">
      <c r="A67" s="27" t="s">
        <v>38</v>
      </c>
      <c r="B67" s="30" t="s">
        <v>27</v>
      </c>
      <c r="C67" s="31" t="s">
        <v>125</v>
      </c>
      <c r="D67" s="33">
        <f>D68+D69</f>
        <v>738833.93900000001</v>
      </c>
      <c r="E67" s="33">
        <f t="shared" ref="E67" si="9">E68+E69</f>
        <v>1216531.9468850729</v>
      </c>
      <c r="F67" s="33">
        <f t="shared" ref="F67" si="10">F68+F69</f>
        <v>1221623</v>
      </c>
    </row>
    <row r="68" spans="1:6" ht="25.5" customHeight="1" x14ac:dyDescent="0.2">
      <c r="A68" s="36"/>
      <c r="B68" s="30" t="s">
        <v>28</v>
      </c>
      <c r="C68" s="31" t="s">
        <v>125</v>
      </c>
      <c r="D68" s="33">
        <v>380694.56900000008</v>
      </c>
      <c r="E68" s="34">
        <v>609443.99688507279</v>
      </c>
      <c r="F68" s="33">
        <v>628416</v>
      </c>
    </row>
    <row r="69" spans="1:6" ht="25.5" customHeight="1" x14ac:dyDescent="0.2">
      <c r="A69" s="36"/>
      <c r="B69" s="30" t="s">
        <v>29</v>
      </c>
      <c r="C69" s="31" t="s">
        <v>125</v>
      </c>
      <c r="D69" s="33">
        <f>60586.294+61667.172+60648.236+59783.927+58137.049+57316.692</f>
        <v>358139.36999999994</v>
      </c>
      <c r="E69" s="34">
        <v>607087.95000000007</v>
      </c>
      <c r="F69" s="33">
        <v>593207</v>
      </c>
    </row>
    <row r="70" spans="1:6" ht="20.25" customHeight="1" x14ac:dyDescent="0.2">
      <c r="A70" s="27" t="s">
        <v>39</v>
      </c>
      <c r="B70" s="30" t="s">
        <v>31</v>
      </c>
      <c r="C70" s="31" t="s">
        <v>125</v>
      </c>
      <c r="D70" s="33">
        <f>D71+D72</f>
        <v>312423.60800000001</v>
      </c>
      <c r="E70" s="33">
        <f t="shared" ref="E70" si="11">E71+E72</f>
        <v>592736.04809467995</v>
      </c>
      <c r="F70" s="33">
        <f t="shared" ref="F70" si="12">F71+F72</f>
        <v>603929</v>
      </c>
    </row>
    <row r="71" spans="1:6" ht="24.75" customHeight="1" x14ac:dyDescent="0.2">
      <c r="A71" s="36"/>
      <c r="B71" s="30" t="s">
        <v>28</v>
      </c>
      <c r="C71" s="31" t="s">
        <v>125</v>
      </c>
      <c r="D71" s="33">
        <v>170538.69200000001</v>
      </c>
      <c r="E71" s="34">
        <v>300314.43809468002</v>
      </c>
      <c r="F71" s="33">
        <v>310657</v>
      </c>
    </row>
    <row r="72" spans="1:6" ht="24" customHeight="1" x14ac:dyDescent="0.2">
      <c r="A72" s="36"/>
      <c r="B72" s="30" t="s">
        <v>29</v>
      </c>
      <c r="C72" s="31" t="s">
        <v>125</v>
      </c>
      <c r="D72" s="33">
        <f>26214.105+26128.056+23579.987+23780.408+21620.944+20561.416</f>
        <v>141884.916</v>
      </c>
      <c r="E72" s="34">
        <v>292421.60999999993</v>
      </c>
      <c r="F72" s="33">
        <v>293272</v>
      </c>
    </row>
    <row r="73" spans="1:6" ht="75" customHeight="1" x14ac:dyDescent="0.2">
      <c r="A73" s="27" t="s">
        <v>40</v>
      </c>
      <c r="B73" s="30" t="s">
        <v>41</v>
      </c>
      <c r="C73" s="31" t="s">
        <v>125</v>
      </c>
      <c r="D73" s="33">
        <f>D74+D77</f>
        <v>51201.917000000001</v>
      </c>
      <c r="E73" s="109" t="s">
        <v>138</v>
      </c>
      <c r="F73" s="110"/>
    </row>
    <row r="74" spans="1:6" ht="25.5" customHeight="1" x14ac:dyDescent="0.2">
      <c r="A74" s="27" t="s">
        <v>42</v>
      </c>
      <c r="B74" s="30" t="s">
        <v>27</v>
      </c>
      <c r="C74" s="31" t="s">
        <v>125</v>
      </c>
      <c r="D74" s="33">
        <f>D75+D76</f>
        <v>11060.699000000001</v>
      </c>
      <c r="E74" s="109" t="s">
        <v>138</v>
      </c>
      <c r="F74" s="110"/>
    </row>
    <row r="75" spans="1:6" ht="24" customHeight="1" x14ac:dyDescent="0.2">
      <c r="A75" s="36"/>
      <c r="B75" s="30" t="s">
        <v>28</v>
      </c>
      <c r="C75" s="31" t="s">
        <v>125</v>
      </c>
      <c r="D75" s="33">
        <v>5579.2170000000006</v>
      </c>
      <c r="E75" s="109" t="s">
        <v>138</v>
      </c>
      <c r="F75" s="110"/>
    </row>
    <row r="76" spans="1:6" ht="24" customHeight="1" x14ac:dyDescent="0.2">
      <c r="A76" s="36"/>
      <c r="B76" s="30" t="s">
        <v>29</v>
      </c>
      <c r="C76" s="31" t="s">
        <v>125</v>
      </c>
      <c r="D76" s="33">
        <f>1104.081+1062.126+1019.355+803.514+552.616+939.79</f>
        <v>5481.482</v>
      </c>
      <c r="E76" s="109" t="s">
        <v>138</v>
      </c>
      <c r="F76" s="110"/>
    </row>
    <row r="77" spans="1:6" ht="24" customHeight="1" x14ac:dyDescent="0.2">
      <c r="A77" s="27" t="s">
        <v>43</v>
      </c>
      <c r="B77" s="30" t="s">
        <v>31</v>
      </c>
      <c r="C77" s="31" t="s">
        <v>125</v>
      </c>
      <c r="D77" s="33">
        <f>D78+D79</f>
        <v>40141.218000000001</v>
      </c>
      <c r="E77" s="109" t="s">
        <v>138</v>
      </c>
      <c r="F77" s="110"/>
    </row>
    <row r="78" spans="1:6" ht="24.75" customHeight="1" x14ac:dyDescent="0.2">
      <c r="A78" s="36"/>
      <c r="B78" s="30" t="s">
        <v>28</v>
      </c>
      <c r="C78" s="31" t="s">
        <v>125</v>
      </c>
      <c r="D78" s="33">
        <v>24077.21</v>
      </c>
      <c r="E78" s="109" t="s">
        <v>138</v>
      </c>
      <c r="F78" s="110"/>
    </row>
    <row r="79" spans="1:6" ht="22.5" customHeight="1" x14ac:dyDescent="0.2">
      <c r="A79" s="36"/>
      <c r="B79" s="30" t="s">
        <v>29</v>
      </c>
      <c r="C79" s="31" t="s">
        <v>125</v>
      </c>
      <c r="D79" s="33">
        <f>3934.356+3536.145+2654.608+2045.841+1868.202+2024.856</f>
        <v>16064.008</v>
      </c>
      <c r="E79" s="109" t="s">
        <v>138</v>
      </c>
      <c r="F79" s="110"/>
    </row>
    <row r="80" spans="1:6" ht="80.25" customHeight="1" x14ac:dyDescent="0.2">
      <c r="A80" s="27" t="s">
        <v>44</v>
      </c>
      <c r="B80" s="30" t="s">
        <v>45</v>
      </c>
      <c r="C80" s="31" t="s">
        <v>125</v>
      </c>
      <c r="D80" s="33">
        <f>D81+D84</f>
        <v>1102459.4640000002</v>
      </c>
      <c r="E80" s="109" t="s">
        <v>138</v>
      </c>
      <c r="F80" s="110"/>
    </row>
    <row r="81" spans="1:6" ht="30" customHeight="1" x14ac:dyDescent="0.2">
      <c r="A81" s="27" t="s">
        <v>46</v>
      </c>
      <c r="B81" s="30" t="s">
        <v>27</v>
      </c>
      <c r="C81" s="31" t="s">
        <v>125</v>
      </c>
      <c r="D81" s="33">
        <f>D82+D83</f>
        <v>749894.63800000004</v>
      </c>
      <c r="E81" s="109" t="s">
        <v>138</v>
      </c>
      <c r="F81" s="110"/>
    </row>
    <row r="82" spans="1:6" ht="25.5" customHeight="1" x14ac:dyDescent="0.2">
      <c r="A82" s="36"/>
      <c r="B82" s="30" t="s">
        <v>28</v>
      </c>
      <c r="C82" s="31" t="s">
        <v>125</v>
      </c>
      <c r="D82" s="33">
        <v>386273.78600000002</v>
      </c>
      <c r="E82" s="109" t="s">
        <v>138</v>
      </c>
      <c r="F82" s="110"/>
    </row>
    <row r="83" spans="1:6" ht="25.5" customHeight="1" x14ac:dyDescent="0.2">
      <c r="A83" s="36"/>
      <c r="B83" s="30" t="s">
        <v>29</v>
      </c>
      <c r="C83" s="31" t="s">
        <v>125</v>
      </c>
      <c r="D83" s="33">
        <f>61690.375+62729.298+61667.591+60587.441+58689.665+58256.482</f>
        <v>363620.85200000001</v>
      </c>
      <c r="E83" s="109" t="s">
        <v>138</v>
      </c>
      <c r="F83" s="110"/>
    </row>
    <row r="84" spans="1:6" ht="24.75" customHeight="1" x14ac:dyDescent="0.2">
      <c r="A84" s="27" t="s">
        <v>47</v>
      </c>
      <c r="B84" s="30" t="s">
        <v>31</v>
      </c>
      <c r="C84" s="31" t="s">
        <v>125</v>
      </c>
      <c r="D84" s="33">
        <f>D85+D86</f>
        <v>352564.826</v>
      </c>
      <c r="E84" s="109" t="s">
        <v>138</v>
      </c>
      <c r="F84" s="110"/>
    </row>
    <row r="85" spans="1:6" ht="25.5" customHeight="1" x14ac:dyDescent="0.2">
      <c r="A85" s="36"/>
      <c r="B85" s="30" t="s">
        <v>28</v>
      </c>
      <c r="C85" s="31" t="s">
        <v>125</v>
      </c>
      <c r="D85" s="33">
        <v>194615.902</v>
      </c>
      <c r="E85" s="109" t="s">
        <v>138</v>
      </c>
      <c r="F85" s="110"/>
    </row>
    <row r="86" spans="1:6" ht="24.75" customHeight="1" x14ac:dyDescent="0.2">
      <c r="A86" s="36"/>
      <c r="B86" s="30" t="s">
        <v>29</v>
      </c>
      <c r="C86" s="31" t="s">
        <v>125</v>
      </c>
      <c r="D86" s="33">
        <f>30148.461+29664.201+26234.595+25826.249+23489.146+22586.272</f>
        <v>157948.924</v>
      </c>
      <c r="E86" s="109" t="s">
        <v>138</v>
      </c>
      <c r="F86" s="110"/>
    </row>
    <row r="87" spans="1:6" ht="33" customHeight="1" x14ac:dyDescent="0.2">
      <c r="A87" s="27" t="s">
        <v>48</v>
      </c>
      <c r="B87" s="30" t="s">
        <v>49</v>
      </c>
      <c r="C87" s="31" t="s">
        <v>125</v>
      </c>
      <c r="D87" s="33">
        <f>D88+D91</f>
        <v>902743.68900000001</v>
      </c>
      <c r="E87" s="33">
        <f t="shared" ref="E87:F87" si="13">E88+E91</f>
        <v>1005170.6712595448</v>
      </c>
      <c r="F87" s="33">
        <f t="shared" si="13"/>
        <v>982015</v>
      </c>
    </row>
    <row r="88" spans="1:6" ht="25.5" customHeight="1" x14ac:dyDescent="0.2">
      <c r="A88" s="27" t="s">
        <v>50</v>
      </c>
      <c r="B88" s="30" t="s">
        <v>27</v>
      </c>
      <c r="C88" s="31" t="s">
        <v>125</v>
      </c>
      <c r="D88" s="33">
        <f>D89+D90</f>
        <v>530986.24199999997</v>
      </c>
      <c r="E88" s="33">
        <f t="shared" ref="E88:F88" si="14">E89+E90</f>
        <v>670643.0758942191</v>
      </c>
      <c r="F88" s="33">
        <f t="shared" si="14"/>
        <v>654830</v>
      </c>
    </row>
    <row r="89" spans="1:6" ht="24.75" customHeight="1" x14ac:dyDescent="0.2">
      <c r="A89" s="36"/>
      <c r="B89" s="30" t="s">
        <v>28</v>
      </c>
      <c r="C89" s="31" t="s">
        <v>125</v>
      </c>
      <c r="D89" s="33">
        <v>275244.00499999995</v>
      </c>
      <c r="E89" s="34">
        <v>335215.48589421908</v>
      </c>
      <c r="F89" s="33">
        <v>336839</v>
      </c>
    </row>
    <row r="90" spans="1:6" ht="21.75" customHeight="1" x14ac:dyDescent="0.2">
      <c r="A90" s="36"/>
      <c r="B90" s="30" t="s">
        <v>29</v>
      </c>
      <c r="C90" s="31" t="s">
        <v>125</v>
      </c>
      <c r="D90" s="33">
        <f>41918.436+44259.918+43283.451+42463.983+42259.654+41556.795</f>
        <v>255742.23700000002</v>
      </c>
      <c r="E90" s="34">
        <v>335427.59000000003</v>
      </c>
      <c r="F90" s="33">
        <v>317991</v>
      </c>
    </row>
    <row r="91" spans="1:6" ht="27" customHeight="1" x14ac:dyDescent="0.2">
      <c r="A91" s="27" t="s">
        <v>51</v>
      </c>
      <c r="B91" s="30" t="s">
        <v>31</v>
      </c>
      <c r="C91" s="31" t="s">
        <v>125</v>
      </c>
      <c r="D91" s="33">
        <f>D92+D93</f>
        <v>371757.44699999999</v>
      </c>
      <c r="E91" s="33">
        <f t="shared" ref="E91" si="15">E92+E93</f>
        <v>334527.59536532569</v>
      </c>
      <c r="F91" s="33">
        <f t="shared" ref="F91" si="16">F92+F93</f>
        <v>327185</v>
      </c>
    </row>
    <row r="92" spans="1:6" ht="25.5" customHeight="1" x14ac:dyDescent="0.2">
      <c r="A92" s="36"/>
      <c r="B92" s="30" t="s">
        <v>28</v>
      </c>
      <c r="C92" s="31" t="s">
        <v>125</v>
      </c>
      <c r="D92" s="33">
        <v>209361.70899999997</v>
      </c>
      <c r="E92" s="34">
        <v>173416.64626532569</v>
      </c>
      <c r="F92" s="33">
        <v>168301</v>
      </c>
    </row>
    <row r="93" spans="1:6" ht="24" customHeight="1" x14ac:dyDescent="0.2">
      <c r="A93" s="36"/>
      <c r="B93" s="30" t="s">
        <v>29</v>
      </c>
      <c r="C93" s="31" t="s">
        <v>125</v>
      </c>
      <c r="D93" s="33">
        <f>36016.624+30977.127+26848.539+21734.654+23481.167+23337.627</f>
        <v>162395.73800000001</v>
      </c>
      <c r="E93" s="34">
        <v>161110.9491</v>
      </c>
      <c r="F93" s="33">
        <v>158884</v>
      </c>
    </row>
    <row r="94" spans="1:6" ht="32.25" customHeight="1" x14ac:dyDescent="0.2">
      <c r="A94" s="27" t="s">
        <v>52</v>
      </c>
      <c r="B94" s="30" t="s">
        <v>53</v>
      </c>
      <c r="C94" s="31" t="s">
        <v>125</v>
      </c>
      <c r="D94" s="33">
        <v>834646.63899999997</v>
      </c>
      <c r="E94" s="34">
        <v>184060.14</v>
      </c>
      <c r="F94" s="27">
        <v>199551</v>
      </c>
    </row>
    <row r="95" spans="1:6" ht="29.25" customHeight="1" x14ac:dyDescent="0.2">
      <c r="A95" s="27" t="s">
        <v>54</v>
      </c>
      <c r="B95" s="30" t="s">
        <v>27</v>
      </c>
      <c r="C95" s="31" t="s">
        <v>125</v>
      </c>
      <c r="D95" s="33">
        <v>528000.78399999999</v>
      </c>
      <c r="E95" s="109" t="s">
        <v>138</v>
      </c>
      <c r="F95" s="110"/>
    </row>
    <row r="96" spans="1:6" ht="25.5" customHeight="1" x14ac:dyDescent="0.2">
      <c r="A96" s="36"/>
      <c r="B96" s="30" t="s">
        <v>28</v>
      </c>
      <c r="C96" s="31" t="s">
        <v>125</v>
      </c>
      <c r="D96" s="33">
        <v>265760.17099999997</v>
      </c>
      <c r="E96" s="109" t="s">
        <v>138</v>
      </c>
      <c r="F96" s="110"/>
    </row>
    <row r="97" spans="1:6" ht="24" customHeight="1" x14ac:dyDescent="0.2">
      <c r="A97" s="36"/>
      <c r="B97" s="30" t="s">
        <v>29</v>
      </c>
      <c r="C97" s="31" t="s">
        <v>125</v>
      </c>
      <c r="D97" s="33">
        <f>43686.526+43741.754+44348.341+48867.635+40823.297+40773.06</f>
        <v>262240.61300000001</v>
      </c>
      <c r="E97" s="109" t="s">
        <v>138</v>
      </c>
      <c r="F97" s="110"/>
    </row>
    <row r="98" spans="1:6" ht="24" customHeight="1" x14ac:dyDescent="0.2">
      <c r="A98" s="27" t="s">
        <v>55</v>
      </c>
      <c r="B98" s="30" t="s">
        <v>31</v>
      </c>
      <c r="C98" s="31" t="s">
        <v>125</v>
      </c>
      <c r="D98" s="33">
        <v>306646</v>
      </c>
      <c r="E98" s="109" t="s">
        <v>138</v>
      </c>
      <c r="F98" s="110"/>
    </row>
    <row r="99" spans="1:6" ht="25.5" customHeight="1" x14ac:dyDescent="0.2">
      <c r="A99" s="36"/>
      <c r="B99" s="30" t="s">
        <v>28</v>
      </c>
      <c r="C99" s="31" t="s">
        <v>125</v>
      </c>
      <c r="D99" s="33">
        <v>150009.693</v>
      </c>
      <c r="E99" s="109" t="s">
        <v>138</v>
      </c>
      <c r="F99" s="110"/>
    </row>
    <row r="100" spans="1:6" ht="22.5" customHeight="1" x14ac:dyDescent="0.2">
      <c r="A100" s="36"/>
      <c r="B100" s="30" t="s">
        <v>29</v>
      </c>
      <c r="C100" s="31" t="s">
        <v>125</v>
      </c>
      <c r="D100" s="33">
        <f>28731.866+32926.134+28666.461+23874.082+23730.28+18707.339</f>
        <v>156636.16199999998</v>
      </c>
      <c r="E100" s="109" t="s">
        <v>138</v>
      </c>
      <c r="F100" s="110"/>
    </row>
    <row r="101" spans="1:6" ht="80.25" customHeight="1" x14ac:dyDescent="0.2">
      <c r="A101" s="27" t="s">
        <v>56</v>
      </c>
      <c r="B101" s="30" t="s">
        <v>57</v>
      </c>
      <c r="C101" s="31" t="s">
        <v>125</v>
      </c>
      <c r="D101" s="33">
        <f>D102+D105+D108+D111</f>
        <v>8702423.3900000006</v>
      </c>
      <c r="E101" s="33">
        <f t="shared" ref="E101:F101" si="17">E102+E105+E108+E111</f>
        <v>8207662.6999999993</v>
      </c>
      <c r="F101" s="33">
        <f t="shared" si="17"/>
        <v>7944013.5</v>
      </c>
    </row>
    <row r="102" spans="1:6" ht="21.75" customHeight="1" x14ac:dyDescent="0.2">
      <c r="A102" s="36"/>
      <c r="B102" s="30" t="s">
        <v>58</v>
      </c>
      <c r="C102" s="31" t="s">
        <v>125</v>
      </c>
      <c r="D102" s="33">
        <f>D103+D104</f>
        <v>1702370.6310000001</v>
      </c>
      <c r="E102" s="33">
        <f t="shared" ref="E102:F102" si="18">E103+E104</f>
        <v>905482.23</v>
      </c>
      <c r="F102" s="33">
        <f t="shared" si="18"/>
        <v>1182480.253</v>
      </c>
    </row>
    <row r="103" spans="1:6" ht="23.25" customHeight="1" x14ac:dyDescent="0.2">
      <c r="A103" s="36"/>
      <c r="B103" s="30" t="s">
        <v>28</v>
      </c>
      <c r="C103" s="31" t="s">
        <v>125</v>
      </c>
      <c r="D103" s="33">
        <v>894397.74300000002</v>
      </c>
      <c r="E103" s="34">
        <v>454139.87</v>
      </c>
      <c r="F103" s="33">
        <v>655338.36499999999</v>
      </c>
    </row>
    <row r="104" spans="1:6" ht="21" customHeight="1" x14ac:dyDescent="0.2">
      <c r="A104" s="36"/>
      <c r="B104" s="30" t="s">
        <v>29</v>
      </c>
      <c r="C104" s="31" t="s">
        <v>125</v>
      </c>
      <c r="D104" s="33">
        <v>807972.88800000004</v>
      </c>
      <c r="E104" s="34">
        <v>451342.36</v>
      </c>
      <c r="F104" s="33">
        <v>527141.88800000004</v>
      </c>
    </row>
    <row r="105" spans="1:6" ht="24.75" customHeight="1" x14ac:dyDescent="0.2">
      <c r="A105" s="36"/>
      <c r="B105" s="30" t="s">
        <v>59</v>
      </c>
      <c r="C105" s="31" t="s">
        <v>125</v>
      </c>
      <c r="D105" s="33">
        <f>D106+D107</f>
        <v>1588786.8689999999</v>
      </c>
      <c r="E105" s="33">
        <f t="shared" ref="E105" si="19">E106+E107</f>
        <v>1152699.73</v>
      </c>
      <c r="F105" s="33">
        <f t="shared" ref="F105" si="20">F106+F107</f>
        <v>1292513.9700000002</v>
      </c>
    </row>
    <row r="106" spans="1:6" ht="23.25" customHeight="1" x14ac:dyDescent="0.2">
      <c r="A106" s="36"/>
      <c r="B106" s="30" t="s">
        <v>28</v>
      </c>
      <c r="C106" s="31" t="s">
        <v>125</v>
      </c>
      <c r="D106" s="33">
        <v>814060.29299999995</v>
      </c>
      <c r="E106" s="34">
        <v>620118.34</v>
      </c>
      <c r="F106" s="33">
        <v>688881.84900000005</v>
      </c>
    </row>
    <row r="107" spans="1:6" ht="21.75" customHeight="1" x14ac:dyDescent="0.2">
      <c r="A107" s="36"/>
      <c r="B107" s="30" t="s">
        <v>29</v>
      </c>
      <c r="C107" s="31" t="s">
        <v>125</v>
      </c>
      <c r="D107" s="33">
        <v>774726.576</v>
      </c>
      <c r="E107" s="34">
        <v>532581.39</v>
      </c>
      <c r="F107" s="33">
        <v>603632.12100000004</v>
      </c>
    </row>
    <row r="108" spans="1:6" ht="23.25" customHeight="1" x14ac:dyDescent="0.2">
      <c r="A108" s="36"/>
      <c r="B108" s="30" t="s">
        <v>60</v>
      </c>
      <c r="C108" s="31" t="s">
        <v>125</v>
      </c>
      <c r="D108" s="33">
        <f>D109+D110</f>
        <v>2564156.9849999999</v>
      </c>
      <c r="E108" s="33">
        <f t="shared" ref="E108" si="21">E109+E110</f>
        <v>2652708.81</v>
      </c>
      <c r="F108" s="33">
        <f t="shared" ref="F108" si="22">F109+F110</f>
        <v>2617374.4819999998</v>
      </c>
    </row>
    <row r="109" spans="1:6" ht="24.75" customHeight="1" x14ac:dyDescent="0.2">
      <c r="A109" s="36"/>
      <c r="B109" s="30" t="s">
        <v>28</v>
      </c>
      <c r="C109" s="31" t="s">
        <v>125</v>
      </c>
      <c r="D109" s="33">
        <v>1373793.504</v>
      </c>
      <c r="E109" s="34">
        <v>1398826.47</v>
      </c>
      <c r="F109" s="33">
        <v>1407358.8940000001</v>
      </c>
    </row>
    <row r="110" spans="1:6" ht="22.5" customHeight="1" x14ac:dyDescent="0.2">
      <c r="A110" s="36"/>
      <c r="B110" s="30" t="s">
        <v>29</v>
      </c>
      <c r="C110" s="31" t="s">
        <v>125</v>
      </c>
      <c r="D110" s="33">
        <v>1190363.4809999999</v>
      </c>
      <c r="E110" s="34">
        <v>1253882.3400000001</v>
      </c>
      <c r="F110" s="33">
        <v>1210015.588</v>
      </c>
    </row>
    <row r="111" spans="1:6" ht="25.5" customHeight="1" x14ac:dyDescent="0.2">
      <c r="A111" s="36"/>
      <c r="B111" s="30" t="s">
        <v>61</v>
      </c>
      <c r="C111" s="31" t="s">
        <v>125</v>
      </c>
      <c r="D111" s="33">
        <f>D112+D113</f>
        <v>2847108.9050000003</v>
      </c>
      <c r="E111" s="33">
        <f t="shared" ref="E111" si="23">E112+E113</f>
        <v>3496771.9299999997</v>
      </c>
      <c r="F111" s="33">
        <f t="shared" ref="F111" si="24">F112+F113</f>
        <v>2851644.7949999999</v>
      </c>
    </row>
    <row r="112" spans="1:6" ht="26.25" customHeight="1" x14ac:dyDescent="0.2">
      <c r="A112" s="36"/>
      <c r="B112" s="30" t="s">
        <v>28</v>
      </c>
      <c r="C112" s="31" t="s">
        <v>125</v>
      </c>
      <c r="D112" s="33">
        <v>1504164.101</v>
      </c>
      <c r="E112" s="34">
        <v>1887389.41</v>
      </c>
      <c r="F112" s="33">
        <v>1468855.085</v>
      </c>
    </row>
    <row r="113" spans="1:6" ht="24" customHeight="1" x14ac:dyDescent="0.2">
      <c r="A113" s="36"/>
      <c r="B113" s="30" t="s">
        <v>29</v>
      </c>
      <c r="C113" s="31" t="s">
        <v>125</v>
      </c>
      <c r="D113" s="33">
        <v>1342944.804</v>
      </c>
      <c r="E113" s="34">
        <v>1609382.52</v>
      </c>
      <c r="F113" s="33">
        <v>1382789.71</v>
      </c>
    </row>
    <row r="114" spans="1:6" ht="68.25" customHeight="1" x14ac:dyDescent="0.2">
      <c r="A114" s="27" t="s">
        <v>62</v>
      </c>
      <c r="B114" s="30" t="s">
        <v>63</v>
      </c>
      <c r="C114" s="31" t="s">
        <v>125</v>
      </c>
      <c r="D114" s="33">
        <f>D115+D116</f>
        <v>2784648.9440000001</v>
      </c>
      <c r="E114" s="33">
        <f t="shared" ref="E114:F114" si="25">E115+E116</f>
        <v>3343909.2</v>
      </c>
      <c r="F114" s="33">
        <f t="shared" si="25"/>
        <v>3096411</v>
      </c>
    </row>
    <row r="115" spans="1:6" ht="25.5" customHeight="1" x14ac:dyDescent="0.2">
      <c r="A115" s="36"/>
      <c r="B115" s="30" t="s">
        <v>64</v>
      </c>
      <c r="C115" s="31" t="s">
        <v>125</v>
      </c>
      <c r="D115" s="33">
        <v>1477127.4080000001</v>
      </c>
      <c r="E115" s="34">
        <v>1742601.81</v>
      </c>
      <c r="F115" s="33">
        <v>1619960</v>
      </c>
    </row>
    <row r="116" spans="1:6" ht="25.5" customHeight="1" x14ac:dyDescent="0.2">
      <c r="A116" s="36"/>
      <c r="B116" s="30" t="s">
        <v>65</v>
      </c>
      <c r="C116" s="31" t="s">
        <v>125</v>
      </c>
      <c r="D116" s="33">
        <v>1307521.5360000001</v>
      </c>
      <c r="E116" s="34">
        <v>1601307.39</v>
      </c>
      <c r="F116" s="33">
        <v>1476451</v>
      </c>
    </row>
    <row r="117" spans="1:6" ht="28.5" x14ac:dyDescent="0.2">
      <c r="A117" s="27" t="s">
        <v>66</v>
      </c>
      <c r="B117" s="30" t="s">
        <v>67</v>
      </c>
      <c r="C117" s="31" t="s">
        <v>70</v>
      </c>
      <c r="D117" s="27">
        <f>D119+D120</f>
        <v>1010.468</v>
      </c>
      <c r="E117" s="27">
        <f t="shared" ref="E117:F117" si="26">E119+E120</f>
        <v>1013.3390000000001</v>
      </c>
      <c r="F117" s="27">
        <f t="shared" si="26"/>
        <v>1018.7110000000001</v>
      </c>
    </row>
    <row r="118" spans="1:6" ht="18" customHeight="1" x14ac:dyDescent="0.2">
      <c r="A118" s="36"/>
      <c r="B118" s="30" t="s">
        <v>23</v>
      </c>
      <c r="C118" s="37"/>
      <c r="D118" s="36"/>
      <c r="E118" s="37"/>
      <c r="F118" s="36"/>
    </row>
    <row r="119" spans="1:6" ht="32.25" customHeight="1" x14ac:dyDescent="0.2">
      <c r="A119" s="27" t="s">
        <v>68</v>
      </c>
      <c r="B119" s="30" t="s">
        <v>69</v>
      </c>
      <c r="C119" s="31" t="s">
        <v>70</v>
      </c>
      <c r="D119" s="27">
        <f>2834/1000+977889/1000</f>
        <v>980.72299999999996</v>
      </c>
      <c r="E119" s="31">
        <f>2615/1000+982556/1000</f>
        <v>985.17100000000005</v>
      </c>
      <c r="F119" s="27">
        <f>2594/1000+987114/1000</f>
        <v>989.70800000000008</v>
      </c>
    </row>
    <row r="120" spans="1:6" ht="78" customHeight="1" x14ac:dyDescent="0.2">
      <c r="A120" s="27" t="s">
        <v>71</v>
      </c>
      <c r="B120" s="30" t="s">
        <v>72</v>
      </c>
      <c r="C120" s="31" t="s">
        <v>70</v>
      </c>
      <c r="D120" s="27">
        <f>D121+D122+D123+D124</f>
        <v>29.745000000000005</v>
      </c>
      <c r="E120" s="27">
        <f t="shared" ref="E120:F120" si="27">E121+E122+E123+E124</f>
        <v>28.167999999999999</v>
      </c>
      <c r="F120" s="27">
        <f t="shared" si="27"/>
        <v>29.003000000000004</v>
      </c>
    </row>
    <row r="121" spans="1:6" ht="24.75" customHeight="1" x14ac:dyDescent="0.2">
      <c r="A121" s="36"/>
      <c r="B121" s="30" t="s">
        <v>58</v>
      </c>
      <c r="C121" s="31" t="s">
        <v>70</v>
      </c>
      <c r="D121" s="27">
        <f>26609/1000</f>
        <v>26.609000000000002</v>
      </c>
      <c r="E121" s="31">
        <f>25173/1000</f>
        <v>25.172999999999998</v>
      </c>
      <c r="F121" s="27">
        <f>25911/1000</f>
        <v>25.911000000000001</v>
      </c>
    </row>
    <row r="122" spans="1:6" ht="22.5" customHeight="1" x14ac:dyDescent="0.2">
      <c r="A122" s="36"/>
      <c r="B122" s="30" t="s">
        <v>59</v>
      </c>
      <c r="C122" s="31" t="s">
        <v>70</v>
      </c>
      <c r="D122" s="27">
        <f>2608/1000</f>
        <v>2.6080000000000001</v>
      </c>
      <c r="E122" s="31">
        <f>2497/1000</f>
        <v>2.4969999999999999</v>
      </c>
      <c r="F122" s="27">
        <f>2591/1000</f>
        <v>2.5910000000000002</v>
      </c>
    </row>
    <row r="123" spans="1:6" ht="21" customHeight="1" x14ac:dyDescent="0.2">
      <c r="A123" s="36"/>
      <c r="B123" s="30" t="s">
        <v>60</v>
      </c>
      <c r="C123" s="31" t="s">
        <v>70</v>
      </c>
      <c r="D123" s="27">
        <f>495/1000</f>
        <v>0.495</v>
      </c>
      <c r="E123" s="31">
        <f>468/1000</f>
        <v>0.46800000000000003</v>
      </c>
      <c r="F123" s="27">
        <f>471/1000</f>
        <v>0.47099999999999997</v>
      </c>
    </row>
    <row r="124" spans="1:6" ht="24" customHeight="1" x14ac:dyDescent="0.2">
      <c r="A124" s="36"/>
      <c r="B124" s="30" t="s">
        <v>61</v>
      </c>
      <c r="C124" s="31" t="s">
        <v>70</v>
      </c>
      <c r="D124" s="27">
        <f>33/1000</f>
        <v>3.3000000000000002E-2</v>
      </c>
      <c r="E124" s="31">
        <f>30/1000</f>
        <v>0.03</v>
      </c>
      <c r="F124" s="27">
        <f>30/1000</f>
        <v>0.03</v>
      </c>
    </row>
    <row r="125" spans="1:6" ht="62.25" customHeight="1" x14ac:dyDescent="0.2">
      <c r="A125" s="27" t="s">
        <v>73</v>
      </c>
      <c r="B125" s="30" t="s">
        <v>74</v>
      </c>
      <c r="C125" s="31" t="s">
        <v>70</v>
      </c>
      <c r="D125" s="42">
        <v>7.0000000000000007E-2</v>
      </c>
      <c r="E125" s="31">
        <v>7.1999999999999995E-2</v>
      </c>
      <c r="F125" s="27">
        <v>8.1000000000000003E-2</v>
      </c>
    </row>
    <row r="126" spans="1:6" ht="35.25" customHeight="1" x14ac:dyDescent="0.2">
      <c r="A126" s="27" t="s">
        <v>75</v>
      </c>
      <c r="B126" s="15" t="s">
        <v>76</v>
      </c>
      <c r="C126" s="31" t="s">
        <v>79</v>
      </c>
      <c r="D126" s="33">
        <v>1180010</v>
      </c>
      <c r="E126" s="34">
        <v>1185201</v>
      </c>
      <c r="F126" s="33">
        <v>1192458</v>
      </c>
    </row>
    <row r="127" spans="1:6" ht="24.75" customHeight="1" x14ac:dyDescent="0.2">
      <c r="A127" s="36"/>
      <c r="B127" s="30" t="s">
        <v>23</v>
      </c>
      <c r="C127" s="37"/>
      <c r="D127" s="33"/>
      <c r="E127" s="34"/>
      <c r="F127" s="33"/>
    </row>
    <row r="128" spans="1:6" ht="33" customHeight="1" x14ac:dyDescent="0.2">
      <c r="A128" s="27" t="s">
        <v>77</v>
      </c>
      <c r="B128" s="15" t="s">
        <v>78</v>
      </c>
      <c r="C128" s="31" t="s">
        <v>79</v>
      </c>
      <c r="D128" s="33">
        <v>1094420</v>
      </c>
      <c r="E128" s="34">
        <v>1099770</v>
      </c>
      <c r="F128" s="33">
        <v>1104590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33">
        <v>85590</v>
      </c>
      <c r="E129" s="34">
        <v>85431</v>
      </c>
      <c r="F129" s="33">
        <v>87868</v>
      </c>
    </row>
    <row r="130" spans="1:6" ht="24.75" customHeight="1" x14ac:dyDescent="0.2">
      <c r="A130" s="36"/>
      <c r="B130" s="38" t="s">
        <v>58</v>
      </c>
      <c r="C130" s="18" t="s">
        <v>79</v>
      </c>
      <c r="D130" s="33">
        <v>55021</v>
      </c>
      <c r="E130" s="34">
        <v>55122</v>
      </c>
      <c r="F130" s="33">
        <v>56739</v>
      </c>
    </row>
    <row r="131" spans="1:6" ht="26.25" customHeight="1" x14ac:dyDescent="0.2">
      <c r="A131" s="36"/>
      <c r="B131" s="38" t="s">
        <v>59</v>
      </c>
      <c r="C131" s="18" t="s">
        <v>79</v>
      </c>
      <c r="D131" s="33">
        <v>20603</v>
      </c>
      <c r="E131" s="34">
        <v>20410</v>
      </c>
      <c r="F131" s="33">
        <v>21179</v>
      </c>
    </row>
    <row r="132" spans="1:6" ht="26.25" customHeight="1" x14ac:dyDescent="0.2">
      <c r="A132" s="36"/>
      <c r="B132" s="38" t="s">
        <v>60</v>
      </c>
      <c r="C132" s="18" t="s">
        <v>79</v>
      </c>
      <c r="D132" s="33">
        <v>8037.0000000000009</v>
      </c>
      <c r="E132" s="34">
        <v>8021.0000000000009</v>
      </c>
      <c r="F132" s="33">
        <v>8071.9999999999991</v>
      </c>
    </row>
    <row r="133" spans="1:6" ht="25.5" customHeight="1" x14ac:dyDescent="0.2">
      <c r="A133" s="36"/>
      <c r="B133" s="38" t="s">
        <v>61</v>
      </c>
      <c r="C133" s="18" t="s">
        <v>79</v>
      </c>
      <c r="D133" s="33">
        <v>1929</v>
      </c>
      <c r="E133" s="34">
        <v>1878</v>
      </c>
      <c r="F133" s="33">
        <v>1878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17"/>
      <c r="E134" s="16"/>
      <c r="F134" s="17"/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33">
        <v>1269697.4535823399</v>
      </c>
      <c r="E135" s="34">
        <v>1402256</v>
      </c>
      <c r="F135" s="33">
        <v>2863363</v>
      </c>
    </row>
    <row r="136" spans="1:6" ht="42.75" x14ac:dyDescent="0.2">
      <c r="A136" s="27" t="s">
        <v>87</v>
      </c>
      <c r="B136" s="15" t="s">
        <v>88</v>
      </c>
      <c r="C136" s="16"/>
      <c r="D136" s="17"/>
      <c r="E136" s="16"/>
      <c r="F136" s="17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33">
        <v>1099</v>
      </c>
      <c r="E137" s="34">
        <v>1156</v>
      </c>
      <c r="F137" s="33">
        <v>1156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33">
        <v>39503</v>
      </c>
      <c r="E138" s="34">
        <v>39979</v>
      </c>
      <c r="F138" s="33">
        <v>51358</v>
      </c>
    </row>
    <row r="139" spans="1:6" ht="47.25" customHeight="1" x14ac:dyDescent="0.2">
      <c r="A139" s="27" t="s">
        <v>95</v>
      </c>
      <c r="B139" s="15" t="s">
        <v>96</v>
      </c>
      <c r="C139" s="16"/>
      <c r="D139" s="33" t="s">
        <v>137</v>
      </c>
      <c r="E139" s="34" t="s">
        <v>137</v>
      </c>
      <c r="F139" s="33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33">
        <v>13582</v>
      </c>
      <c r="E140" s="34">
        <v>94121</v>
      </c>
      <c r="F140" s="33">
        <v>98702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33">
        <v>42370</v>
      </c>
      <c r="E141" s="34">
        <v>0</v>
      </c>
      <c r="F141" s="33">
        <v>404585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33">
        <v>64960</v>
      </c>
      <c r="E142" s="34">
        <v>43909</v>
      </c>
      <c r="F142" s="33">
        <v>277077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33" t="s">
        <v>137</v>
      </c>
      <c r="E143" s="34" t="s">
        <v>137</v>
      </c>
      <c r="F143" s="33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27">
        <v>5.12</v>
      </c>
      <c r="E144" s="31">
        <v>3.13</v>
      </c>
      <c r="F144" s="27">
        <v>9.68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22" t="s">
        <v>139</v>
      </c>
      <c r="E145" s="39" t="s">
        <v>140</v>
      </c>
      <c r="F145" s="35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23"/>
      <c r="E147" s="23"/>
      <c r="F147" s="23"/>
      <c r="G147" s="23"/>
      <c r="H147" s="23"/>
    </row>
    <row r="148" spans="1:10" x14ac:dyDescent="0.2">
      <c r="A148" s="101"/>
      <c r="B148" s="101"/>
      <c r="C148" s="101"/>
      <c r="D148" s="101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E154" s="7"/>
      <c r="G154" s="7"/>
      <c r="J154" s="7" t="s">
        <v>111</v>
      </c>
    </row>
    <row r="155" spans="1:10" ht="15" x14ac:dyDescent="0.25">
      <c r="A155" s="11"/>
      <c r="E155" s="9"/>
      <c r="G155" s="9"/>
      <c r="J155" s="9" t="s">
        <v>0</v>
      </c>
    </row>
    <row r="156" spans="1:10" ht="15" x14ac:dyDescent="0.25">
      <c r="A156" s="11"/>
      <c r="E156" s="7"/>
      <c r="G156" s="7"/>
    </row>
    <row r="157" spans="1:10" ht="15" x14ac:dyDescent="0.25">
      <c r="A157" s="11"/>
      <c r="E157" s="7"/>
      <c r="G157" s="7"/>
    </row>
    <row r="158" spans="1:10" ht="15" x14ac:dyDescent="0.25">
      <c r="A158" s="11"/>
    </row>
    <row r="159" spans="1:10" ht="15.75" thickBot="1" x14ac:dyDescent="0.3">
      <c r="A159" s="102" t="s">
        <v>112</v>
      </c>
      <c r="B159" s="102"/>
      <c r="C159" s="102"/>
      <c r="D159" s="102"/>
      <c r="E159" s="102"/>
      <c r="F159" s="102"/>
    </row>
    <row r="160" spans="1:10" ht="51.75" customHeight="1" thickBot="1" x14ac:dyDescent="0.25">
      <c r="A160" s="103" t="s">
        <v>16</v>
      </c>
      <c r="B160" s="103" t="s">
        <v>17</v>
      </c>
      <c r="C160" s="103" t="s">
        <v>18</v>
      </c>
      <c r="D160" s="99" t="s">
        <v>19</v>
      </c>
      <c r="E160" s="100"/>
      <c r="F160" s="107" t="s">
        <v>124</v>
      </c>
      <c r="G160" s="100"/>
      <c r="H160" s="99" t="s">
        <v>20</v>
      </c>
      <c r="I160" s="100"/>
    </row>
    <row r="161" spans="1:9" ht="32.25" customHeight="1" thickBot="1" x14ac:dyDescent="0.25">
      <c r="A161" s="104"/>
      <c r="B161" s="104"/>
      <c r="C161" s="104"/>
      <c r="D161" s="24" t="s">
        <v>113</v>
      </c>
      <c r="E161" s="12" t="s">
        <v>114</v>
      </c>
      <c r="F161" s="12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25"/>
      <c r="E162" s="17"/>
      <c r="F162" s="17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25"/>
      <c r="E163" s="17"/>
      <c r="F163" s="17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6">
        <v>48.44</v>
      </c>
      <c r="E164" s="27">
        <v>119.36</v>
      </c>
      <c r="F164" s="28">
        <f>152.49/1.18</f>
        <v>129.22881355932205</v>
      </c>
      <c r="G164" s="28">
        <f>158.43/1.18</f>
        <v>134.26271186440678</v>
      </c>
      <c r="H164" s="28">
        <f>158.43/1.18</f>
        <v>134.26271186440678</v>
      </c>
      <c r="I164" s="27">
        <v>242.99</v>
      </c>
    </row>
    <row r="165" spans="1:9" ht="78" customHeight="1" x14ac:dyDescent="0.2">
      <c r="A165" s="14" t="s">
        <v>80</v>
      </c>
      <c r="B165" s="15" t="s">
        <v>117</v>
      </c>
      <c r="C165" s="15"/>
      <c r="D165" s="26">
        <v>71.97</v>
      </c>
      <c r="E165" s="27">
        <v>78.13</v>
      </c>
      <c r="F165" s="27">
        <v>71.069999999999993</v>
      </c>
      <c r="G165" s="27">
        <v>71.069999999999993</v>
      </c>
      <c r="H165" s="27">
        <v>71.069999999999993</v>
      </c>
      <c r="I165" s="27">
        <v>535.9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25"/>
      <c r="E166" s="17"/>
      <c r="F166" s="17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29">
        <v>12.15</v>
      </c>
      <c r="E167" s="14">
        <v>18.22</v>
      </c>
      <c r="F167" s="14">
        <v>18.22</v>
      </c>
      <c r="G167" s="14">
        <v>18.22</v>
      </c>
      <c r="H167" s="14">
        <v>18.22</v>
      </c>
      <c r="I167" s="14">
        <v>22.68</v>
      </c>
    </row>
    <row r="168" spans="1:9" ht="23.25" customHeight="1" x14ac:dyDescent="0.2">
      <c r="A168" s="17"/>
      <c r="B168" s="15" t="s">
        <v>59</v>
      </c>
      <c r="C168" s="14" t="s">
        <v>107</v>
      </c>
      <c r="D168" s="29">
        <v>11.55</v>
      </c>
      <c r="E168" s="14">
        <v>17.32</v>
      </c>
      <c r="F168" s="14">
        <v>17.32</v>
      </c>
      <c r="G168" s="14">
        <v>17.32</v>
      </c>
      <c r="H168" s="14">
        <v>17.32</v>
      </c>
      <c r="I168" s="14">
        <v>21.56</v>
      </c>
    </row>
    <row r="169" spans="1:9" ht="21.75" customHeight="1" x14ac:dyDescent="0.2">
      <c r="A169" s="17"/>
      <c r="B169" s="15" t="s">
        <v>60</v>
      </c>
      <c r="C169" s="14" t="s">
        <v>107</v>
      </c>
      <c r="D169" s="29">
        <v>7.32</v>
      </c>
      <c r="E169" s="14">
        <v>10.98</v>
      </c>
      <c r="F169" s="14">
        <v>10.98</v>
      </c>
      <c r="G169" s="14">
        <v>10.98</v>
      </c>
      <c r="H169" s="14">
        <v>10.98</v>
      </c>
      <c r="I169" s="14">
        <v>13.67</v>
      </c>
    </row>
    <row r="170" spans="1:9" ht="23.25" customHeight="1" thickBot="1" x14ac:dyDescent="0.25">
      <c r="A170" s="22"/>
      <c r="B170" s="20" t="s">
        <v>61</v>
      </c>
      <c r="C170" s="19" t="s">
        <v>107</v>
      </c>
      <c r="D170" s="24">
        <v>3.99</v>
      </c>
      <c r="E170" s="19">
        <v>5.98</v>
      </c>
      <c r="F170" s="19">
        <v>5.98</v>
      </c>
      <c r="G170" s="19">
        <v>5.98</v>
      </c>
      <c r="H170" s="19">
        <v>5.98</v>
      </c>
      <c r="I170" s="19">
        <v>7.45</v>
      </c>
    </row>
    <row r="171" spans="1:9" x14ac:dyDescent="0.2">
      <c r="A171" s="97"/>
      <c r="B171" s="97"/>
      <c r="C171" s="97"/>
      <c r="D171" s="97"/>
      <c r="E171" s="97"/>
      <c r="F171" s="97"/>
      <c r="G171" s="97"/>
    </row>
    <row r="172" spans="1:9" x14ac:dyDescent="0.2">
      <c r="A172" s="23" t="s">
        <v>110</v>
      </c>
      <c r="B172" s="23"/>
      <c r="C172" s="23"/>
      <c r="D172" s="23"/>
      <c r="E172" s="23"/>
      <c r="F172" s="23"/>
    </row>
    <row r="173" spans="1:9" x14ac:dyDescent="0.2">
      <c r="A173" s="5"/>
    </row>
  </sheetData>
  <mergeCells count="48">
    <mergeCell ref="A171:G171"/>
    <mergeCell ref="C160:C161"/>
    <mergeCell ref="D160:E160"/>
    <mergeCell ref="F160:G160"/>
    <mergeCell ref="H160:I160"/>
    <mergeCell ref="E73:F73"/>
    <mergeCell ref="A5:F5"/>
    <mergeCell ref="A6:F6"/>
    <mergeCell ref="A7:F7"/>
    <mergeCell ref="A16:F16"/>
    <mergeCell ref="A26:B26"/>
    <mergeCell ref="A28:B28"/>
    <mergeCell ref="A30:B30"/>
    <mergeCell ref="A18:B18"/>
    <mergeCell ref="A20:B20"/>
    <mergeCell ref="A22:B22"/>
    <mergeCell ref="A24:B24"/>
    <mergeCell ref="A1:F1"/>
    <mergeCell ref="A2:F2"/>
    <mergeCell ref="A3:F3"/>
    <mergeCell ref="A4:F4"/>
    <mergeCell ref="A160:A161"/>
    <mergeCell ref="B160:B161"/>
    <mergeCell ref="A32:B32"/>
    <mergeCell ref="A34:B34"/>
    <mergeCell ref="A36:B36"/>
    <mergeCell ref="A46:F46"/>
    <mergeCell ref="A159:F159"/>
    <mergeCell ref="E75:F75"/>
    <mergeCell ref="E76:F76"/>
    <mergeCell ref="E78:F78"/>
    <mergeCell ref="E79:F79"/>
    <mergeCell ref="E82:F82"/>
    <mergeCell ref="A148:D148"/>
    <mergeCell ref="E74:F74"/>
    <mergeCell ref="E77:F77"/>
    <mergeCell ref="E80:F80"/>
    <mergeCell ref="E81:F81"/>
    <mergeCell ref="E84:F84"/>
    <mergeCell ref="E95:F95"/>
    <mergeCell ref="E98:F98"/>
    <mergeCell ref="E100:F100"/>
    <mergeCell ref="E85:F85"/>
    <mergeCell ref="E86:F86"/>
    <mergeCell ref="E96:F96"/>
    <mergeCell ref="E97:F97"/>
    <mergeCell ref="E99:F99"/>
    <mergeCell ref="E83:F83"/>
  </mergeCells>
  <hyperlinks>
    <hyperlink ref="E12" location="sub_10000" display="sub_10000"/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5" x14ac:dyDescent="0.25"/>
  <cols>
    <col min="2" max="2" width="9.5703125" bestFit="1" customWidth="1"/>
    <col min="3" max="3" width="10.28515625" customWidth="1"/>
    <col min="4" max="4" width="9.5703125" bestFit="1" customWidth="1"/>
    <col min="5" max="5" width="10.85546875" customWidth="1"/>
    <col min="6" max="7" width="10.42578125" customWidth="1"/>
    <col min="8" max="8" width="10.5703125" bestFit="1" customWidth="1"/>
  </cols>
  <sheetData>
    <row r="1" spans="1:8" x14ac:dyDescent="0.25">
      <c r="A1" t="s">
        <v>148</v>
      </c>
    </row>
    <row r="2" spans="1:8" x14ac:dyDescent="0.25">
      <c r="A2" t="s">
        <v>141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4" t="s">
        <v>147</v>
      </c>
      <c r="H2" s="44" t="s">
        <v>149</v>
      </c>
    </row>
    <row r="3" spans="1:8" x14ac:dyDescent="0.25">
      <c r="B3" s="44"/>
      <c r="C3" s="44"/>
      <c r="D3" s="44"/>
      <c r="E3" s="44"/>
      <c r="F3" s="44"/>
      <c r="G3" s="44"/>
    </row>
    <row r="4" spans="1:8" x14ac:dyDescent="0.25">
      <c r="A4" s="45">
        <v>230</v>
      </c>
      <c r="B4" s="48">
        <f>SUM(B5:B6)</f>
        <v>93954.569000000003</v>
      </c>
      <c r="C4" s="48">
        <f t="shared" ref="C4:F4" si="0">SUM(C5:C6)</f>
        <v>94817.001000000004</v>
      </c>
      <c r="D4" s="48">
        <f t="shared" si="0"/>
        <v>85544.187999999995</v>
      </c>
      <c r="E4" s="48">
        <f t="shared" si="0"/>
        <v>83365.69</v>
      </c>
      <c r="F4" s="48">
        <f t="shared" si="0"/>
        <v>81688.747999999992</v>
      </c>
      <c r="G4" s="48">
        <f>SUM(G5:G6)</f>
        <v>84793.805999999997</v>
      </c>
      <c r="H4" s="48">
        <f>SUM(H5:H6)</f>
        <v>524164.00200000004</v>
      </c>
    </row>
    <row r="5" spans="1:8" x14ac:dyDescent="0.25">
      <c r="A5" s="43">
        <v>240</v>
      </c>
      <c r="B5" s="46">
        <v>63414.978999999999</v>
      </c>
      <c r="C5">
        <v>62824.474999999999</v>
      </c>
      <c r="D5" s="46">
        <v>60921.550999999999</v>
      </c>
      <c r="E5">
        <v>60673.743000000002</v>
      </c>
      <c r="F5" s="44">
        <v>59450.932000000001</v>
      </c>
      <c r="G5" s="47">
        <v>60000.002</v>
      </c>
      <c r="H5" s="46">
        <f>SUM(B5:G5)</f>
        <v>367285.68200000003</v>
      </c>
    </row>
    <row r="6" spans="1:8" x14ac:dyDescent="0.25">
      <c r="A6" s="43">
        <v>250</v>
      </c>
      <c r="B6" s="46">
        <v>30539.59</v>
      </c>
      <c r="C6">
        <v>31992.526000000002</v>
      </c>
      <c r="D6" s="46">
        <v>24622.636999999999</v>
      </c>
      <c r="E6">
        <v>22691.947</v>
      </c>
      <c r="F6" s="44">
        <v>22237.815999999999</v>
      </c>
      <c r="G6" s="47">
        <v>24793.804</v>
      </c>
      <c r="H6" s="46">
        <f>SUM(B6:G6)</f>
        <v>156878.32</v>
      </c>
    </row>
    <row r="8" spans="1:8" x14ac:dyDescent="0.25">
      <c r="A8" s="49">
        <v>290</v>
      </c>
      <c r="B8" s="48">
        <f>SUM(B9:B10)</f>
        <v>5786.0940000000001</v>
      </c>
      <c r="C8" s="48">
        <f t="shared" ref="C8:F8" si="1">SUM(C9:C10)</f>
        <v>6078.1320000000005</v>
      </c>
      <c r="D8" s="48">
        <f t="shared" si="1"/>
        <v>5467.0309999999999</v>
      </c>
      <c r="E8" s="48">
        <f t="shared" si="1"/>
        <v>4399.8019999999997</v>
      </c>
      <c r="F8" s="48">
        <f t="shared" si="1"/>
        <v>4197.5200000000004</v>
      </c>
      <c r="G8" s="50">
        <f>SUM(G9:G10)</f>
        <v>3738.7240000000002</v>
      </c>
      <c r="H8" s="52">
        <f>SUM(H9:H10)</f>
        <v>29667.303</v>
      </c>
    </row>
    <row r="9" spans="1:8" x14ac:dyDescent="0.25">
      <c r="A9" s="43">
        <v>300</v>
      </c>
      <c r="B9" s="44">
        <v>1182.0719999999999</v>
      </c>
      <c r="C9" s="44">
        <v>738.72900000000004</v>
      </c>
      <c r="D9" s="47">
        <v>1005.11</v>
      </c>
      <c r="E9" s="44">
        <v>1137.797</v>
      </c>
      <c r="F9" s="44">
        <v>988.56700000000001</v>
      </c>
      <c r="G9" s="44">
        <v>678.62599999999998</v>
      </c>
      <c r="H9" s="55">
        <f>SUM(B9:G9)</f>
        <v>5730.9009999999998</v>
      </c>
    </row>
    <row r="10" spans="1:8" x14ac:dyDescent="0.25">
      <c r="A10" s="43">
        <v>310</v>
      </c>
      <c r="B10" s="44">
        <v>4604.0219999999999</v>
      </c>
      <c r="C10" s="44">
        <v>5339.4030000000002</v>
      </c>
      <c r="D10" s="44">
        <v>4461.9210000000003</v>
      </c>
      <c r="E10" s="44">
        <v>3262.0050000000001</v>
      </c>
      <c r="F10" s="44">
        <v>3208.953</v>
      </c>
      <c r="G10" s="44">
        <v>3060.098</v>
      </c>
      <c r="H10" s="55">
        <f>SUM(B10:G10)</f>
        <v>23936.402000000002</v>
      </c>
    </row>
    <row r="11" spans="1:8" x14ac:dyDescent="0.25">
      <c r="B11" s="44"/>
      <c r="C11" s="44"/>
      <c r="D11" s="44"/>
      <c r="E11" s="44"/>
      <c r="F11" s="44"/>
    </row>
    <row r="12" spans="1:8" x14ac:dyDescent="0.25">
      <c r="A12" s="49">
        <v>400</v>
      </c>
      <c r="B12" s="48">
        <f>SUM(B13:B14)</f>
        <v>84190.807000000001</v>
      </c>
      <c r="C12" s="48">
        <f t="shared" ref="C12:F12" si="2">SUM(C13:C14)</f>
        <v>79702.701000000001</v>
      </c>
      <c r="D12" s="48">
        <f t="shared" si="2"/>
        <v>69206.577000000005</v>
      </c>
      <c r="E12" s="48">
        <f t="shared" si="2"/>
        <v>66638.81</v>
      </c>
      <c r="F12" s="48">
        <f t="shared" si="2"/>
        <v>65692.414000000004</v>
      </c>
      <c r="G12" s="50">
        <f>SUM(G13:G14)</f>
        <v>71239.159</v>
      </c>
      <c r="H12" s="54">
        <f>SUM(H13:H14)</f>
        <v>436670.46800000005</v>
      </c>
    </row>
    <row r="13" spans="1:8" x14ac:dyDescent="0.25">
      <c r="A13" s="43">
        <v>410</v>
      </c>
      <c r="B13" s="46">
        <v>40863.313999999998</v>
      </c>
      <c r="C13">
        <v>39853.771000000001</v>
      </c>
      <c r="D13" s="46">
        <v>37942.372000000003</v>
      </c>
      <c r="E13" s="44">
        <v>37979.807000000001</v>
      </c>
      <c r="F13" s="51">
        <v>42486.031999999999</v>
      </c>
      <c r="G13" s="51">
        <v>45970.731</v>
      </c>
      <c r="H13" s="53">
        <f>SUM(B13:G13)</f>
        <v>245096.027</v>
      </c>
    </row>
    <row r="14" spans="1:8" x14ac:dyDescent="0.25">
      <c r="A14" s="43">
        <v>420</v>
      </c>
      <c r="B14" s="47">
        <v>43327.493000000002</v>
      </c>
      <c r="C14" s="47">
        <v>39848.93</v>
      </c>
      <c r="D14" s="46">
        <v>31264.205000000002</v>
      </c>
      <c r="E14" s="44">
        <v>28659.003000000001</v>
      </c>
      <c r="F14" s="51">
        <v>23206.382000000001</v>
      </c>
      <c r="G14" s="51">
        <v>25268.428</v>
      </c>
      <c r="H14" s="53">
        <f>SUM(B14:G14)</f>
        <v>191574.44100000005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2017</vt:lpstr>
      <vt:lpstr>2015</vt:lpstr>
      <vt:lpstr>Лист1</vt:lpstr>
      <vt:lpstr>'2015'!sub_10100</vt:lpstr>
      <vt:lpstr>'2017'!sub_10100</vt:lpstr>
      <vt:lpstr>'2015'!sub_10200</vt:lpstr>
      <vt:lpstr>'2017'!sub_10200</vt:lpstr>
      <vt:lpstr>'2015'!sub_10300</vt:lpstr>
      <vt:lpstr>'2017'!sub_10300</vt:lpstr>
      <vt:lpstr>'2015'!sub_10311</vt:lpstr>
      <vt:lpstr>'2017'!sub_10311</vt:lpstr>
      <vt:lpstr>'2015'!sub_10500</vt:lpstr>
      <vt:lpstr>'2017'!sub_10500</vt:lpstr>
      <vt:lpstr>'2015'!sub_10511</vt:lpstr>
      <vt:lpstr>'2017'!sub_10511</vt:lpstr>
      <vt:lpstr>'2015'!Область_печати</vt:lpstr>
      <vt:lpstr>'2017'!Область_печати</vt:lpstr>
    </vt:vector>
  </TitlesOfParts>
  <Company>Красноярскэнергосбыт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Татьяна Ивановна</dc:creator>
  <cp:lastModifiedBy>Смирнова Татьяна Ивановна</cp:lastModifiedBy>
  <cp:lastPrinted>2014-09-16T02:22:24Z</cp:lastPrinted>
  <dcterms:created xsi:type="dcterms:W3CDTF">2014-09-02T00:28:10Z</dcterms:created>
  <dcterms:modified xsi:type="dcterms:W3CDTF">2017-04-18T09:19:36Z</dcterms:modified>
</cp:coreProperties>
</file>