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nikovaov\AppData\Local\LANIT\LanDocs\EditedFiles\"/>
    </mc:Choice>
  </mc:AlternateContent>
  <bookViews>
    <workbookView xWindow="0" yWindow="0" windowWidth="28770" windowHeight="11760" firstSheet="1" activeTab="1"/>
  </bookViews>
  <sheets>
    <sheet name="2021" sheetId="6" state="hidden" r:id="rId1"/>
    <sheet name="2025" sheetId="10" r:id="rId2"/>
    <sheet name="2024" sheetId="9" state="hidden" r:id="rId3"/>
    <sheet name="2023" sheetId="8" state="hidden" r:id="rId4"/>
    <sheet name="2022" sheetId="7" state="hidden" r:id="rId5"/>
    <sheet name="2020" sheetId="5" state="hidden" r:id="rId6"/>
    <sheet name="2019" sheetId="4" state="hidden" r:id="rId7"/>
    <sheet name="2015" sheetId="1" state="hidden" r:id="rId8"/>
    <sheet name="Лист1" sheetId="3" state="hidden" r:id="rId9"/>
  </sheets>
  <definedNames>
    <definedName name="sub_10100" localSheetId="7">'2015'!$A$1</definedName>
    <definedName name="sub_10100" localSheetId="6">'2019'!$A$1</definedName>
    <definedName name="sub_10100" localSheetId="5">'2020'!$A$1</definedName>
    <definedName name="sub_10100" localSheetId="0">'2021'!$A$1</definedName>
    <definedName name="sub_10100" localSheetId="4">'2022'!$A$1</definedName>
    <definedName name="sub_10100" localSheetId="3">'2023'!$A$1</definedName>
    <definedName name="sub_10100" localSheetId="2">'2024'!$A$1</definedName>
    <definedName name="sub_10100" localSheetId="1">'2025'!$A$1</definedName>
    <definedName name="sub_10200" localSheetId="7">'2015'!$A$28</definedName>
    <definedName name="sub_10200" localSheetId="6">'2019'!$A$28</definedName>
    <definedName name="sub_10200" localSheetId="5">'2020'!$A$28</definedName>
    <definedName name="sub_10200" localSheetId="0">'2021'!$A$28</definedName>
    <definedName name="sub_10200" localSheetId="4">'2022'!$A$28</definedName>
    <definedName name="sub_10200" localSheetId="3">'2023'!$A$28</definedName>
    <definedName name="sub_10200" localSheetId="2">'2024'!$A$28</definedName>
    <definedName name="sub_10200" localSheetId="1">'2025'!$A$28</definedName>
    <definedName name="sub_10300" localSheetId="7">'2015'!$A$32</definedName>
    <definedName name="sub_10300" localSheetId="6">'2019'!$A$32</definedName>
    <definedName name="sub_10300" localSheetId="5">'2020'!$A$32</definedName>
    <definedName name="sub_10300" localSheetId="0">'2021'!$A$32</definedName>
    <definedName name="sub_10300" localSheetId="4">'2022'!$A$32</definedName>
    <definedName name="sub_10300" localSheetId="3">'2023'!$A$32</definedName>
    <definedName name="sub_10300" localSheetId="2">'2024'!$A$32</definedName>
    <definedName name="sub_10300" localSheetId="1">'2025'!$A$32</definedName>
    <definedName name="sub_10311" localSheetId="7">'2015'!$A$138</definedName>
    <definedName name="sub_10311" localSheetId="6">'2019'!$A$138</definedName>
    <definedName name="sub_10311" localSheetId="5">'2020'!$A$133</definedName>
    <definedName name="sub_10311" localSheetId="0">'2021'!$A$133</definedName>
    <definedName name="sub_10311" localSheetId="4">'2022'!$A$133</definedName>
    <definedName name="sub_10311" localSheetId="3">'2023'!$A$133</definedName>
    <definedName name="sub_10311" localSheetId="2">'2024'!$A$133</definedName>
    <definedName name="sub_10311" localSheetId="1">'2025'!$A$133</definedName>
    <definedName name="sub_10500" localSheetId="7">'2015'!$A$140</definedName>
    <definedName name="sub_10500" localSheetId="6">'2019'!$A$140</definedName>
    <definedName name="sub_10500" localSheetId="5">'2020'!$A$135</definedName>
    <definedName name="sub_10500" localSheetId="0">'2021'!$A$135</definedName>
    <definedName name="sub_10500" localSheetId="4">'2022'!$A$135</definedName>
    <definedName name="sub_10500" localSheetId="3">'2023'!$A$135</definedName>
    <definedName name="sub_10500" localSheetId="2">'2024'!$A$135</definedName>
    <definedName name="sub_10500" localSheetId="1">'2025'!$A$135</definedName>
    <definedName name="sub_10511" localSheetId="7">'2015'!$A$162</definedName>
    <definedName name="sub_10511" localSheetId="6">'2019'!$A$162</definedName>
    <definedName name="sub_10511" localSheetId="5">'2020'!$A$157</definedName>
    <definedName name="sub_10511" localSheetId="0">'2021'!$A$157</definedName>
    <definedName name="sub_10511" localSheetId="4">'2022'!$A$157</definedName>
    <definedName name="sub_10511" localSheetId="3">'2023'!$A$157</definedName>
    <definedName name="sub_10511" localSheetId="2">'2024'!$A$157</definedName>
    <definedName name="sub_10511" localSheetId="1">'2025'!$A$157</definedName>
    <definedName name="_xlnm.Print_Area" localSheetId="7">'2015'!$A$1:$I$172</definedName>
    <definedName name="_xlnm.Print_Area" localSheetId="6">'2019'!$A$1:$G$172</definedName>
    <definedName name="_xlnm.Print_Area" localSheetId="5">'2020'!$A$1:$G$166</definedName>
    <definedName name="_xlnm.Print_Area" localSheetId="0">'2021'!$A$1:$G$166</definedName>
    <definedName name="_xlnm.Print_Area" localSheetId="4">'2022'!$A$1:$G$166</definedName>
    <definedName name="_xlnm.Print_Area" localSheetId="3">'2023'!$A$1:$G$166</definedName>
    <definedName name="_xlnm.Print_Area" localSheetId="2">'2024'!$A$1:$G$166</definedName>
    <definedName name="_xlnm.Print_Area" localSheetId="1">'2025'!$A$1:$G$166</definedName>
  </definedNames>
  <calcPr calcId="162913" refMode="R1C1"/>
</workbook>
</file>

<file path=xl/calcChain.xml><?xml version="1.0" encoding="utf-8"?>
<calcChain xmlns="http://schemas.openxmlformats.org/spreadsheetml/2006/main">
  <c r="I159" i="10" l="1"/>
  <c r="F57" i="10" l="1"/>
  <c r="F56" i="10"/>
  <c r="F54" i="10"/>
  <c r="F53" i="10"/>
  <c r="F60" i="10"/>
  <c r="F116" i="10" l="1"/>
  <c r="E116" i="10"/>
  <c r="D125" i="10"/>
  <c r="D122" i="10" s="1"/>
  <c r="D116" i="10" l="1"/>
  <c r="E57" i="10" l="1"/>
  <c r="E56" i="10"/>
  <c r="D56" i="10"/>
  <c r="D57" i="10"/>
  <c r="E54" i="10"/>
  <c r="E53" i="10"/>
  <c r="E51" i="10" s="1"/>
  <c r="D53" i="10"/>
  <c r="D51" i="10" s="1"/>
  <c r="D54" i="10"/>
  <c r="F51" i="10" l="1"/>
  <c r="F125" i="10"/>
  <c r="F139" i="10"/>
  <c r="E139" i="10"/>
  <c r="D139" i="10"/>
  <c r="E125" i="10"/>
  <c r="F117" i="10"/>
  <c r="F114" i="10" s="1"/>
  <c r="E117" i="10"/>
  <c r="E114" i="10" s="1"/>
  <c r="D117" i="10"/>
  <c r="D114" i="10" s="1"/>
  <c r="F111" i="10"/>
  <c r="E111" i="10"/>
  <c r="D111" i="10"/>
  <c r="F108" i="10"/>
  <c r="E108" i="10"/>
  <c r="D108" i="10"/>
  <c r="F105" i="10"/>
  <c r="E105" i="10"/>
  <c r="D105" i="10"/>
  <c r="F102" i="10"/>
  <c r="E102" i="10"/>
  <c r="D102" i="10"/>
  <c r="F98" i="10"/>
  <c r="E98" i="10"/>
  <c r="D98" i="10"/>
  <c r="F95" i="10"/>
  <c r="E95" i="10"/>
  <c r="D95" i="10"/>
  <c r="D94" i="10" s="1"/>
  <c r="F91" i="10"/>
  <c r="E91" i="10"/>
  <c r="D91" i="10"/>
  <c r="F88" i="10"/>
  <c r="E88" i="10"/>
  <c r="D88" i="10"/>
  <c r="F84" i="10"/>
  <c r="E84" i="10"/>
  <c r="D84" i="10"/>
  <c r="F81" i="10"/>
  <c r="E81" i="10"/>
  <c r="D81" i="10"/>
  <c r="F77" i="10"/>
  <c r="E77" i="10"/>
  <c r="D77" i="10"/>
  <c r="F74" i="10"/>
  <c r="E74" i="10"/>
  <c r="E73" i="10" s="1"/>
  <c r="D74" i="10"/>
  <c r="F70" i="10"/>
  <c r="E70" i="10"/>
  <c r="D70" i="10"/>
  <c r="F67" i="10"/>
  <c r="E67" i="10"/>
  <c r="D67" i="10"/>
  <c r="F63" i="10"/>
  <c r="E63" i="10"/>
  <c r="D63" i="10"/>
  <c r="E60" i="10"/>
  <c r="D60" i="10"/>
  <c r="D52" i="10" s="1"/>
  <c r="D55" i="10" l="1"/>
  <c r="D80" i="10"/>
  <c r="E101" i="10"/>
  <c r="E66" i="10"/>
  <c r="E80" i="10"/>
  <c r="F80" i="10"/>
  <c r="E94" i="10"/>
  <c r="F87" i="10"/>
  <c r="D101" i="10"/>
  <c r="D49" i="10" s="1"/>
  <c r="E59" i="10"/>
  <c r="D73" i="10"/>
  <c r="E87" i="10"/>
  <c r="F73" i="10"/>
  <c r="D87" i="10"/>
  <c r="E52" i="10"/>
  <c r="D66" i="10"/>
  <c r="F101" i="10"/>
  <c r="F94" i="10"/>
  <c r="F66" i="10"/>
  <c r="F52" i="10"/>
  <c r="F59" i="10"/>
  <c r="E55" i="10"/>
  <c r="D59" i="10"/>
  <c r="F55" i="10"/>
  <c r="D60" i="9"/>
  <c r="D57" i="9"/>
  <c r="D56" i="9"/>
  <c r="D54" i="9"/>
  <c r="D53" i="9"/>
  <c r="E49" i="10" l="1"/>
  <c r="F49" i="10"/>
  <c r="I159" i="9"/>
  <c r="F116" i="9" l="1"/>
  <c r="E116" i="9"/>
  <c r="D116" i="9"/>
  <c r="D124" i="9"/>
  <c r="D125" i="9" l="1"/>
  <c r="D122" i="9" s="1"/>
  <c r="E111" i="9" l="1"/>
  <c r="E108" i="9"/>
  <c r="E105" i="9"/>
  <c r="E102" i="9"/>
  <c r="E98" i="9"/>
  <c r="E95" i="9"/>
  <c r="E91" i="9"/>
  <c r="E88" i="9"/>
  <c r="E84" i="9"/>
  <c r="E81" i="9"/>
  <c r="E77" i="9"/>
  <c r="E74" i="9"/>
  <c r="E73" i="9" s="1"/>
  <c r="E70" i="9"/>
  <c r="E67" i="9"/>
  <c r="E63" i="9"/>
  <c r="E60" i="9"/>
  <c r="E57" i="9"/>
  <c r="E56" i="9"/>
  <c r="E54" i="9"/>
  <c r="E53" i="9"/>
  <c r="E52" i="9" l="1"/>
  <c r="E51" i="9" s="1"/>
  <c r="E101" i="9"/>
  <c r="E94" i="9"/>
  <c r="E80" i="9"/>
  <c r="E59" i="9"/>
  <c r="E55" i="9"/>
  <c r="E87" i="9"/>
  <c r="E66" i="9"/>
  <c r="F139" i="9"/>
  <c r="E139" i="9"/>
  <c r="D139" i="9"/>
  <c r="F125" i="9"/>
  <c r="E125" i="9"/>
  <c r="F117" i="9"/>
  <c r="E117" i="9"/>
  <c r="D117" i="9"/>
  <c r="E114" i="9"/>
  <c r="F111" i="9"/>
  <c r="D111" i="9"/>
  <c r="F108" i="9"/>
  <c r="D108" i="9"/>
  <c r="F105" i="9"/>
  <c r="D105" i="9"/>
  <c r="F102" i="9"/>
  <c r="D102" i="9"/>
  <c r="F98" i="9"/>
  <c r="D98" i="9"/>
  <c r="F95" i="9"/>
  <c r="D95" i="9"/>
  <c r="F91" i="9"/>
  <c r="D91" i="9"/>
  <c r="F88" i="9"/>
  <c r="D88" i="9"/>
  <c r="F84" i="9"/>
  <c r="D84" i="9"/>
  <c r="F81" i="9"/>
  <c r="D81" i="9"/>
  <c r="F77" i="9"/>
  <c r="D77" i="9"/>
  <c r="F74" i="9"/>
  <c r="F73" i="9" s="1"/>
  <c r="D74" i="9"/>
  <c r="D73" i="9"/>
  <c r="F70" i="9"/>
  <c r="D70" i="9"/>
  <c r="F67" i="9"/>
  <c r="D67" i="9"/>
  <c r="F63" i="9"/>
  <c r="D63" i="9"/>
  <c r="F60" i="9"/>
  <c r="F57" i="9"/>
  <c r="F54" i="9"/>
  <c r="F53" i="9"/>
  <c r="D59" i="9" l="1"/>
  <c r="D55" i="9"/>
  <c r="D52" i="9"/>
  <c r="D114" i="9"/>
  <c r="F114" i="9"/>
  <c r="E49" i="9"/>
  <c r="F59" i="9"/>
  <c r="F87" i="9"/>
  <c r="F101" i="9"/>
  <c r="F94" i="9"/>
  <c r="F80" i="9"/>
  <c r="F52" i="9"/>
  <c r="F55" i="9"/>
  <c r="D80" i="9"/>
  <c r="D94" i="9"/>
  <c r="D87" i="9"/>
  <c r="D66" i="9"/>
  <c r="D101" i="9"/>
  <c r="F66" i="9"/>
  <c r="F56" i="9"/>
  <c r="I159" i="8"/>
  <c r="D51" i="9" l="1"/>
  <c r="D49" i="9" s="1"/>
  <c r="F51" i="9"/>
  <c r="F49" i="9" s="1"/>
  <c r="D124" i="8"/>
  <c r="F124" i="8" l="1"/>
  <c r="E124" i="8"/>
  <c r="F68" i="8" l="1"/>
  <c r="F69" i="8"/>
  <c r="F72" i="8"/>
  <c r="F71" i="8"/>
  <c r="F116" i="8" l="1"/>
  <c r="E116" i="8"/>
  <c r="D116" i="8"/>
  <c r="F57" i="8" l="1"/>
  <c r="F56" i="8"/>
  <c r="F54" i="8"/>
  <c r="F53" i="8"/>
  <c r="E72" i="8"/>
  <c r="E57" i="8" s="1"/>
  <c r="E69" i="8"/>
  <c r="E54" i="8" s="1"/>
  <c r="E71" i="8"/>
  <c r="E56" i="8" s="1"/>
  <c r="E68" i="8"/>
  <c r="E53" i="8" s="1"/>
  <c r="E88" i="8"/>
  <c r="E60" i="8" l="1"/>
  <c r="F139" i="8" l="1"/>
  <c r="E139" i="8"/>
  <c r="D139" i="8"/>
  <c r="F125" i="8"/>
  <c r="F122" i="8" s="1"/>
  <c r="E125" i="8"/>
  <c r="E122" i="8" s="1"/>
  <c r="D125" i="8"/>
  <c r="D122" i="8" s="1"/>
  <c r="F117" i="8"/>
  <c r="F114" i="8" s="1"/>
  <c r="E117" i="8"/>
  <c r="E114" i="8" s="1"/>
  <c r="D117" i="8"/>
  <c r="D114" i="8" s="1"/>
  <c r="F111" i="8"/>
  <c r="E111" i="8"/>
  <c r="D111" i="8"/>
  <c r="F108" i="8"/>
  <c r="E108" i="8"/>
  <c r="D108" i="8"/>
  <c r="F105" i="8"/>
  <c r="E105" i="8"/>
  <c r="D105" i="8"/>
  <c r="F102" i="8"/>
  <c r="E102" i="8"/>
  <c r="D102" i="8"/>
  <c r="F98" i="8"/>
  <c r="E98" i="8"/>
  <c r="D98" i="8"/>
  <c r="F95" i="8"/>
  <c r="E95" i="8"/>
  <c r="E94" i="8" s="1"/>
  <c r="D95" i="8"/>
  <c r="F91" i="8"/>
  <c r="E91" i="8"/>
  <c r="E87" i="8" s="1"/>
  <c r="D91" i="8"/>
  <c r="F88" i="8"/>
  <c r="D88" i="8"/>
  <c r="F84" i="8"/>
  <c r="E84" i="8"/>
  <c r="D84" i="8"/>
  <c r="F81" i="8"/>
  <c r="F80" i="8" s="1"/>
  <c r="E81" i="8"/>
  <c r="D81" i="8"/>
  <c r="D80" i="8" s="1"/>
  <c r="F77" i="8"/>
  <c r="E77" i="8"/>
  <c r="D77" i="8"/>
  <c r="F74" i="8"/>
  <c r="F73" i="8" s="1"/>
  <c r="E74" i="8"/>
  <c r="E73" i="8" s="1"/>
  <c r="D74" i="8"/>
  <c r="D73" i="8"/>
  <c r="F70" i="8"/>
  <c r="E70" i="8"/>
  <c r="D70" i="8"/>
  <c r="F67" i="8"/>
  <c r="E67" i="8"/>
  <c r="E52" i="8" s="1"/>
  <c r="D67" i="8"/>
  <c r="F63" i="8"/>
  <c r="E63" i="8"/>
  <c r="D63" i="8"/>
  <c r="F60" i="8"/>
  <c r="D60" i="8"/>
  <c r="D57" i="8"/>
  <c r="D56" i="8"/>
  <c r="D54" i="8"/>
  <c r="D53" i="8"/>
  <c r="D94" i="8" l="1"/>
  <c r="E59" i="8"/>
  <c r="E55" i="8"/>
  <c r="D101" i="8"/>
  <c r="D66" i="8"/>
  <c r="F94" i="8"/>
  <c r="F87" i="8"/>
  <c r="F55" i="8"/>
  <c r="F52" i="8"/>
  <c r="F51" i="8" s="1"/>
  <c r="E51" i="8"/>
  <c r="E80" i="8"/>
  <c r="F59" i="8"/>
  <c r="E101" i="8"/>
  <c r="F101" i="8"/>
  <c r="D87" i="8"/>
  <c r="E66" i="8"/>
  <c r="D52" i="8"/>
  <c r="D59" i="8"/>
  <c r="D55" i="8"/>
  <c r="F66" i="8"/>
  <c r="D124" i="7"/>
  <c r="D51" i="8" l="1"/>
  <c r="D49" i="8" s="1"/>
  <c r="E49" i="8"/>
  <c r="F49" i="8"/>
  <c r="H159" i="7"/>
  <c r="I159" i="7" l="1"/>
  <c r="D139" i="7" l="1"/>
  <c r="F139" i="7" l="1"/>
  <c r="E139" i="7"/>
  <c r="F125" i="7"/>
  <c r="F122" i="7" s="1"/>
  <c r="E125" i="7"/>
  <c r="E122" i="7" s="1"/>
  <c r="D125" i="7"/>
  <c r="F117" i="7"/>
  <c r="E117" i="7"/>
  <c r="D117" i="7"/>
  <c r="F116" i="7"/>
  <c r="F114" i="7" s="1"/>
  <c r="E116" i="7"/>
  <c r="D116" i="7"/>
  <c r="F111" i="7"/>
  <c r="E111" i="7"/>
  <c r="D111" i="7"/>
  <c r="F108" i="7"/>
  <c r="E108" i="7"/>
  <c r="D108" i="7"/>
  <c r="F105" i="7"/>
  <c r="E105" i="7"/>
  <c r="D105" i="7"/>
  <c r="F102" i="7"/>
  <c r="E102" i="7"/>
  <c r="D102" i="7"/>
  <c r="F98" i="7"/>
  <c r="E98" i="7"/>
  <c r="D98" i="7"/>
  <c r="F95" i="7"/>
  <c r="E95" i="7"/>
  <c r="D95" i="7"/>
  <c r="F91" i="7"/>
  <c r="E91" i="7"/>
  <c r="D91" i="7"/>
  <c r="F88" i="7"/>
  <c r="E88" i="7"/>
  <c r="D88" i="7"/>
  <c r="F84" i="7"/>
  <c r="E84" i="7"/>
  <c r="D84" i="7"/>
  <c r="F81" i="7"/>
  <c r="F80" i="7" s="1"/>
  <c r="E81" i="7"/>
  <c r="E80" i="7" s="1"/>
  <c r="D81" i="7"/>
  <c r="F77" i="7"/>
  <c r="E77" i="7"/>
  <c r="D77" i="7"/>
  <c r="F74" i="7"/>
  <c r="E74" i="7"/>
  <c r="E73" i="7" s="1"/>
  <c r="D74" i="7"/>
  <c r="D73" i="7" s="1"/>
  <c r="F57" i="7"/>
  <c r="E57" i="7"/>
  <c r="F70" i="7"/>
  <c r="E56" i="7"/>
  <c r="D56" i="7"/>
  <c r="F54" i="7"/>
  <c r="F53" i="7"/>
  <c r="E53" i="7"/>
  <c r="D67" i="7"/>
  <c r="F63" i="7"/>
  <c r="E63" i="7"/>
  <c r="D63" i="7"/>
  <c r="F60" i="7"/>
  <c r="E60" i="7"/>
  <c r="D60" i="7"/>
  <c r="D57" i="7"/>
  <c r="F56" i="7"/>
  <c r="E54" i="7"/>
  <c r="D54" i="7"/>
  <c r="D53" i="7"/>
  <c r="D101" i="7" l="1"/>
  <c r="F73" i="7"/>
  <c r="D80" i="7"/>
  <c r="D59" i="7"/>
  <c r="D94" i="7"/>
  <c r="D87" i="7"/>
  <c r="D114" i="7"/>
  <c r="E114" i="7"/>
  <c r="D122" i="7"/>
  <c r="E94" i="7"/>
  <c r="E87" i="7"/>
  <c r="E101" i="7"/>
  <c r="F101" i="7"/>
  <c r="F94" i="7"/>
  <c r="D52" i="7"/>
  <c r="F87" i="7"/>
  <c r="F59" i="7"/>
  <c r="F55" i="7"/>
  <c r="E59" i="7"/>
  <c r="E67" i="7"/>
  <c r="D70" i="7"/>
  <c r="D55" i="7" s="1"/>
  <c r="F67" i="7"/>
  <c r="E70" i="7"/>
  <c r="E55" i="7" s="1"/>
  <c r="I159" i="6"/>
  <c r="D51" i="7" l="1"/>
  <c r="D49" i="7" s="1"/>
  <c r="E66" i="7"/>
  <c r="E52" i="7"/>
  <c r="E51" i="7" s="1"/>
  <c r="E49" i="7" s="1"/>
  <c r="D66" i="7"/>
  <c r="F66" i="7"/>
  <c r="F52" i="7"/>
  <c r="F51" i="7" s="1"/>
  <c r="F49" i="7" s="1"/>
  <c r="F108" i="6"/>
  <c r="F68" i="6" l="1"/>
  <c r="F69" i="6"/>
  <c r="F72" i="6"/>
  <c r="F71" i="6"/>
  <c r="E124" i="6" l="1"/>
  <c r="D124" i="6" l="1"/>
  <c r="F116" i="6"/>
  <c r="E116" i="6"/>
  <c r="D116" i="6"/>
  <c r="D72" i="6" l="1"/>
  <c r="D71" i="6"/>
  <c r="D69" i="6"/>
  <c r="D68" i="6"/>
  <c r="E72" i="6" l="1"/>
  <c r="E69" i="6"/>
  <c r="E71" i="6"/>
  <c r="E68" i="6"/>
  <c r="F139" i="6" l="1"/>
  <c r="E139" i="6"/>
  <c r="D139" i="6"/>
  <c r="F125" i="6"/>
  <c r="E125" i="6"/>
  <c r="E122" i="6" s="1"/>
  <c r="D125" i="6"/>
  <c r="D122" i="6" s="1"/>
  <c r="F117" i="6"/>
  <c r="E117" i="6"/>
  <c r="E114" i="6" s="1"/>
  <c r="D117" i="6"/>
  <c r="F111" i="6"/>
  <c r="E111" i="6"/>
  <c r="D111" i="6"/>
  <c r="E108" i="6"/>
  <c r="D108" i="6"/>
  <c r="F105" i="6"/>
  <c r="E105" i="6"/>
  <c r="D105" i="6"/>
  <c r="F102" i="6"/>
  <c r="E102" i="6"/>
  <c r="D102" i="6"/>
  <c r="D101" i="6" s="1"/>
  <c r="F98" i="6"/>
  <c r="E98" i="6"/>
  <c r="D98" i="6"/>
  <c r="F95" i="6"/>
  <c r="E95" i="6"/>
  <c r="D95" i="6"/>
  <c r="F91" i="6"/>
  <c r="E91" i="6"/>
  <c r="D91" i="6"/>
  <c r="F88" i="6"/>
  <c r="E88" i="6"/>
  <c r="D88" i="6"/>
  <c r="F84" i="6"/>
  <c r="E84" i="6"/>
  <c r="D84" i="6"/>
  <c r="F81" i="6"/>
  <c r="E81" i="6"/>
  <c r="D81" i="6"/>
  <c r="F77" i="6"/>
  <c r="E77" i="6"/>
  <c r="D77" i="6"/>
  <c r="F74" i="6"/>
  <c r="E74" i="6"/>
  <c r="D74" i="6"/>
  <c r="D73" i="6" s="1"/>
  <c r="D57" i="6"/>
  <c r="F70" i="6"/>
  <c r="E70" i="6"/>
  <c r="D70" i="6"/>
  <c r="D53" i="6"/>
  <c r="F67" i="6"/>
  <c r="E67" i="6"/>
  <c r="F63" i="6"/>
  <c r="E63" i="6"/>
  <c r="D63" i="6"/>
  <c r="F60" i="6"/>
  <c r="E60" i="6"/>
  <c r="D60" i="6"/>
  <c r="F57" i="6"/>
  <c r="E57" i="6"/>
  <c r="F56" i="6"/>
  <c r="E56" i="6"/>
  <c r="D56" i="6"/>
  <c r="F54" i="6"/>
  <c r="E54" i="6"/>
  <c r="D54" i="6"/>
  <c r="F53" i="6"/>
  <c r="E53" i="6"/>
  <c r="F59" i="6" l="1"/>
  <c r="F94" i="6"/>
  <c r="E73" i="6"/>
  <c r="E101" i="6"/>
  <c r="F73" i="6"/>
  <c r="D80" i="6"/>
  <c r="F87" i="6"/>
  <c r="F80" i="6"/>
  <c r="D94" i="6"/>
  <c r="D87" i="6"/>
  <c r="E94" i="6"/>
  <c r="D55" i="6"/>
  <c r="E80" i="6"/>
  <c r="F114" i="6"/>
  <c r="F52" i="6"/>
  <c r="D59" i="6"/>
  <c r="F55" i="6"/>
  <c r="F101" i="6"/>
  <c r="D114" i="6"/>
  <c r="E52" i="6"/>
  <c r="E87" i="6"/>
  <c r="E66" i="6"/>
  <c r="E59" i="6"/>
  <c r="F66" i="6"/>
  <c r="E55" i="6"/>
  <c r="D67" i="6"/>
  <c r="D139" i="5"/>
  <c r="E139" i="5"/>
  <c r="F51" i="6" l="1"/>
  <c r="F49" i="6" s="1"/>
  <c r="E51" i="6"/>
  <c r="E49" i="6"/>
  <c r="D66" i="6"/>
  <c r="D52" i="6"/>
  <c r="D51" i="6" s="1"/>
  <c r="D49" i="6" s="1"/>
  <c r="F124" i="5"/>
  <c r="E124" i="5"/>
  <c r="D124" i="5"/>
  <c r="F116" i="5" l="1"/>
  <c r="D116" i="5"/>
  <c r="E116" i="5"/>
  <c r="E88" i="5" l="1"/>
  <c r="D98" i="5" l="1"/>
  <c r="D71" i="5"/>
  <c r="D68" i="5"/>
  <c r="D53" i="5" s="1"/>
  <c r="D91" i="5" l="1"/>
  <c r="D72" i="5"/>
  <c r="D69" i="5"/>
  <c r="D102" i="5" l="1"/>
  <c r="F139" i="5" l="1"/>
  <c r="E125" i="5"/>
  <c r="F125" i="5"/>
  <c r="D125" i="5"/>
  <c r="E117" i="5"/>
  <c r="F117" i="5"/>
  <c r="D117" i="5"/>
  <c r="F57" i="5"/>
  <c r="F56" i="5"/>
  <c r="E57" i="5"/>
  <c r="E56" i="5"/>
  <c r="D56" i="5"/>
  <c r="D57" i="5"/>
  <c r="F122" i="5" l="1"/>
  <c r="E122" i="5"/>
  <c r="D122" i="5"/>
  <c r="F114" i="5"/>
  <c r="E114" i="5"/>
  <c r="D114" i="5"/>
  <c r="F111" i="5"/>
  <c r="E111" i="5"/>
  <c r="D111" i="5"/>
  <c r="F108" i="5"/>
  <c r="E108" i="5"/>
  <c r="D108" i="5"/>
  <c r="F105" i="5"/>
  <c r="E105" i="5"/>
  <c r="D105" i="5"/>
  <c r="F102" i="5"/>
  <c r="E102" i="5"/>
  <c r="F98" i="5"/>
  <c r="E98" i="5"/>
  <c r="F95" i="5"/>
  <c r="E95" i="5"/>
  <c r="D95" i="5"/>
  <c r="D94" i="5" s="1"/>
  <c r="E91" i="5"/>
  <c r="F91" i="5"/>
  <c r="F88" i="5"/>
  <c r="F84" i="5"/>
  <c r="E84" i="5"/>
  <c r="D84" i="5"/>
  <c r="F81" i="5"/>
  <c r="E81" i="5"/>
  <c r="D81" i="5"/>
  <c r="F77" i="5"/>
  <c r="E77" i="5"/>
  <c r="D77" i="5"/>
  <c r="F74" i="5"/>
  <c r="E74" i="5"/>
  <c r="D74" i="5"/>
  <c r="F70" i="5"/>
  <c r="E70" i="5"/>
  <c r="D70" i="5"/>
  <c r="F67" i="5"/>
  <c r="E67" i="5"/>
  <c r="D67" i="5"/>
  <c r="F63" i="5"/>
  <c r="E63" i="5"/>
  <c r="D63" i="5"/>
  <c r="F60" i="5"/>
  <c r="E60" i="5"/>
  <c r="D60" i="5"/>
  <c r="F54" i="5"/>
  <c r="E54" i="5"/>
  <c r="D54" i="5"/>
  <c r="F53" i="5"/>
  <c r="E53" i="5"/>
  <c r="D101" i="5" l="1"/>
  <c r="D73" i="5"/>
  <c r="D55" i="5"/>
  <c r="F101" i="5"/>
  <c r="E101" i="5"/>
  <c r="E80" i="5"/>
  <c r="E59" i="5"/>
  <c r="F80" i="5"/>
  <c r="F94" i="5"/>
  <c r="D66" i="5"/>
  <c r="E73" i="5"/>
  <c r="D59" i="5"/>
  <c r="D80" i="5"/>
  <c r="F87" i="5"/>
  <c r="E66" i="5"/>
  <c r="F73" i="5"/>
  <c r="F52" i="5"/>
  <c r="E94" i="5"/>
  <c r="F55" i="5"/>
  <c r="E55" i="5"/>
  <c r="F59" i="5"/>
  <c r="E87" i="5"/>
  <c r="E52" i="5"/>
  <c r="F66" i="5"/>
  <c r="D88" i="5"/>
  <c r="I164" i="4"/>
  <c r="F51" i="5" l="1"/>
  <c r="F49" i="5" s="1"/>
  <c r="E51" i="5"/>
  <c r="E49" i="5" s="1"/>
  <c r="D87" i="5"/>
  <c r="D52" i="5"/>
  <c r="D51" i="5" s="1"/>
  <c r="F128" i="4"/>
  <c r="E128" i="4"/>
  <c r="D128" i="4"/>
  <c r="D49" i="5" l="1"/>
  <c r="F119" i="4"/>
  <c r="E119" i="4"/>
  <c r="D119" i="4"/>
  <c r="F144" i="4" l="1"/>
  <c r="E144" i="4"/>
  <c r="D144" i="4"/>
  <c r="G164" i="4" l="1"/>
  <c r="F164" i="4"/>
  <c r="D92" i="4" l="1"/>
  <c r="D89" i="4"/>
  <c r="E92" i="4" l="1"/>
  <c r="E89" i="4"/>
  <c r="E53" i="4" s="1"/>
  <c r="E90" i="4"/>
  <c r="E54" i="4" s="1"/>
  <c r="F89" i="4"/>
  <c r="F90" i="4"/>
  <c r="F92" i="4"/>
  <c r="F93" i="4"/>
  <c r="E56" i="4"/>
  <c r="E57" i="4"/>
  <c r="F129" i="4" l="1"/>
  <c r="F126" i="4" s="1"/>
  <c r="F114" i="4"/>
  <c r="F111" i="4"/>
  <c r="F108" i="4"/>
  <c r="F105" i="4"/>
  <c r="F102" i="4"/>
  <c r="F98" i="4"/>
  <c r="F95" i="4"/>
  <c r="F91" i="4"/>
  <c r="F88" i="4"/>
  <c r="F84" i="4"/>
  <c r="F81" i="4"/>
  <c r="F80" i="4" s="1"/>
  <c r="F77" i="4"/>
  <c r="F74" i="4"/>
  <c r="F73" i="4" s="1"/>
  <c r="F57" i="4"/>
  <c r="F56" i="4"/>
  <c r="F53" i="4"/>
  <c r="F67" i="4"/>
  <c r="F63" i="4"/>
  <c r="F60" i="4"/>
  <c r="F54" i="4"/>
  <c r="F101" i="4" l="1"/>
  <c r="F94" i="4"/>
  <c r="F59" i="4"/>
  <c r="F87" i="4"/>
  <c r="F117" i="4"/>
  <c r="F52" i="4"/>
  <c r="F70" i="4"/>
  <c r="F55" i="4" s="1"/>
  <c r="F51" i="4" l="1"/>
  <c r="F49" i="4" s="1"/>
  <c r="F66" i="4"/>
  <c r="D114" i="4" l="1"/>
  <c r="E70" i="4" l="1"/>
  <c r="D111" i="4" l="1"/>
  <c r="D108" i="4"/>
  <c r="D105" i="4"/>
  <c r="D102" i="4"/>
  <c r="D101" i="4" s="1"/>
  <c r="E84" i="4"/>
  <c r="D84" i="4"/>
  <c r="E81" i="4"/>
  <c r="D81" i="4"/>
  <c r="D98" i="4"/>
  <c r="D53" i="4"/>
  <c r="D91" i="4"/>
  <c r="D88" i="4"/>
  <c r="D63" i="4"/>
  <c r="D60" i="4"/>
  <c r="D95" i="4" l="1"/>
  <c r="E80" i="4"/>
  <c r="D80" i="4"/>
  <c r="D70" i="4"/>
  <c r="D67" i="4"/>
  <c r="D94" i="4" l="1"/>
  <c r="E74" i="4" l="1"/>
  <c r="E77" i="4"/>
  <c r="E98" i="4"/>
  <c r="E95" i="4"/>
  <c r="E129" i="4"/>
  <c r="E117" i="4"/>
  <c r="E114" i="4"/>
  <c r="E111" i="4"/>
  <c r="E108" i="4"/>
  <c r="E105" i="4"/>
  <c r="E102" i="4"/>
  <c r="E91" i="4"/>
  <c r="E88" i="4"/>
  <c r="E63" i="4"/>
  <c r="E60" i="4"/>
  <c r="D54" i="4"/>
  <c r="D56" i="4"/>
  <c r="D57" i="4"/>
  <c r="D59" i="4"/>
  <c r="D66" i="4"/>
  <c r="D129" i="4"/>
  <c r="D117" i="4"/>
  <c r="D87" i="4"/>
  <c r="D77" i="4"/>
  <c r="D55" i="4" s="1"/>
  <c r="D74" i="4"/>
  <c r="D52" i="4" s="1"/>
  <c r="E94" i="4" l="1"/>
  <c r="E59" i="4"/>
  <c r="D51" i="4"/>
  <c r="E101" i="4"/>
  <c r="E67" i="4"/>
  <c r="E52" i="4" s="1"/>
  <c r="E73" i="4"/>
  <c r="D126" i="4"/>
  <c r="E126" i="4"/>
  <c r="E87" i="4"/>
  <c r="E55" i="4"/>
  <c r="D73" i="4"/>
  <c r="E51" i="4" l="1"/>
  <c r="E66" i="4"/>
  <c r="H14" i="3"/>
  <c r="H13" i="3"/>
  <c r="H10" i="3"/>
  <c r="H9" i="3"/>
  <c r="H6" i="3"/>
  <c r="H5" i="3"/>
  <c r="C12" i="3"/>
  <c r="D12" i="3"/>
  <c r="E12" i="3"/>
  <c r="F12" i="3"/>
  <c r="B12" i="3"/>
  <c r="C8" i="3"/>
  <c r="D8" i="3"/>
  <c r="E8" i="3"/>
  <c r="F8" i="3"/>
  <c r="B8" i="3"/>
  <c r="C4" i="3"/>
  <c r="D4" i="3"/>
  <c r="E4" i="3"/>
  <c r="F4" i="3"/>
  <c r="B4" i="3"/>
  <c r="G12" i="3"/>
  <c r="G8" i="3"/>
  <c r="G4" i="3"/>
  <c r="H8" i="3" l="1"/>
  <c r="H12" i="3"/>
  <c r="H4" i="3"/>
  <c r="E49" i="4"/>
  <c r="F53" i="1"/>
  <c r="F54" i="1"/>
  <c r="F56" i="1"/>
  <c r="F57" i="1"/>
  <c r="E119" i="1"/>
  <c r="F119" i="1"/>
  <c r="D119" i="1"/>
  <c r="E114" i="1"/>
  <c r="F114" i="1"/>
  <c r="D114" i="1"/>
  <c r="F111" i="1"/>
  <c r="E111" i="1"/>
  <c r="D111" i="1"/>
  <c r="F108" i="1"/>
  <c r="E108" i="1"/>
  <c r="D108" i="1"/>
  <c r="F105" i="1"/>
  <c r="E105" i="1"/>
  <c r="D105" i="1"/>
  <c r="E102" i="1"/>
  <c r="F102" i="1"/>
  <c r="D102" i="1"/>
  <c r="F91" i="1"/>
  <c r="E91" i="1"/>
  <c r="E88" i="1"/>
  <c r="F88" i="1"/>
  <c r="F70" i="1"/>
  <c r="E70" i="1"/>
  <c r="F67" i="1"/>
  <c r="E67" i="1"/>
  <c r="F63" i="1"/>
  <c r="E63" i="1"/>
  <c r="F60" i="1"/>
  <c r="E60" i="1"/>
  <c r="E55" i="1"/>
  <c r="E52" i="1"/>
  <c r="D54" i="1"/>
  <c r="D52" i="1" s="1"/>
  <c r="D57" i="1"/>
  <c r="D55" i="1" s="1"/>
  <c r="D62" i="1"/>
  <c r="D60" i="1" s="1"/>
  <c r="D65" i="1"/>
  <c r="D63" i="1" s="1"/>
  <c r="D100" i="1"/>
  <c r="D97" i="1"/>
  <c r="D93" i="1"/>
  <c r="D91" i="1" s="1"/>
  <c r="D90" i="1"/>
  <c r="D88" i="1" s="1"/>
  <c r="D86" i="1"/>
  <c r="D84" i="1" s="1"/>
  <c r="D83" i="1"/>
  <c r="D81" i="1" s="1"/>
  <c r="D79" i="1"/>
  <c r="D77" i="1" s="1"/>
  <c r="D76" i="1"/>
  <c r="D74" i="1" s="1"/>
  <c r="D69" i="1"/>
  <c r="D67" i="1" s="1"/>
  <c r="D72" i="1"/>
  <c r="D70" i="1" s="1"/>
  <c r="F124" i="1"/>
  <c r="E124" i="1"/>
  <c r="D124" i="1"/>
  <c r="F123" i="1"/>
  <c r="E123" i="1"/>
  <c r="D123" i="1"/>
  <c r="F122" i="1"/>
  <c r="E122" i="1"/>
  <c r="D122" i="1"/>
  <c r="F121" i="1"/>
  <c r="E121" i="1"/>
  <c r="D121" i="1"/>
  <c r="H164" i="1"/>
  <c r="G164" i="1"/>
  <c r="F164" i="1"/>
  <c r="D59" i="1" l="1"/>
  <c r="F55" i="1"/>
  <c r="F52" i="1"/>
  <c r="E59" i="1"/>
  <c r="F87" i="1"/>
  <c r="D87" i="1"/>
  <c r="F59" i="1"/>
  <c r="D73" i="1"/>
  <c r="E66" i="1"/>
  <c r="F101" i="1"/>
  <c r="E120" i="1"/>
  <c r="F120" i="1"/>
  <c r="D66" i="1"/>
  <c r="D120" i="1"/>
  <c r="D117" i="1" s="1"/>
  <c r="F66" i="1"/>
  <c r="E87" i="1"/>
  <c r="E101" i="1"/>
  <c r="D80" i="1"/>
  <c r="E117" i="1"/>
  <c r="F117" i="1"/>
  <c r="D101" i="1"/>
</calcChain>
</file>

<file path=xl/sharedStrings.xml><?xml version="1.0" encoding="utf-8"?>
<sst xmlns="http://schemas.openxmlformats.org/spreadsheetml/2006/main" count="2476" uniqueCount="200">
  <si>
    <t>к предложению о размере цен</t>
  </si>
  <si>
    <t>(тарифов), долгосрочных</t>
  </si>
  <si>
    <t>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</si>
  <si>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</si>
  <si>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</si>
  <si>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</si>
  <si>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</si>
  <si>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</si>
  <si>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</si>
  <si>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</si>
  <si>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</si>
  <si>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</si>
  <si>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</si>
  <si>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</si>
  <si>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N 3</t>
  </si>
  <si>
    <t>Раздел 2. Основные показатели деятельности гарантирующих поставщиков</t>
  </si>
  <si>
    <t>N п/п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</si>
  <si>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</si>
  <si>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</si>
  <si>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</si>
  <si>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Предложения 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</si>
  <si>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</si>
  <si>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</si>
  <si>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</si>
  <si>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</si>
  <si>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</si>
  <si>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</si>
  <si>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</si>
  <si>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</si>
  <si>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</si>
  <si>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</si>
  <si>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</si>
  <si>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</si>
  <si>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</si>
  <si>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</si>
  <si>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</si>
  <si>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</si>
  <si>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</si>
  <si>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</si>
  <si>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</si>
  <si>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</si>
  <si>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</si>
  <si>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</si>
  <si>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</si>
  <si>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</si>
  <si>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</si>
  <si>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</si>
  <si>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</si>
  <si>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</si>
  <si>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</si>
  <si>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</si>
  <si>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</si>
  <si>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</si>
  <si>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</si>
  <si>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</si>
  <si>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</si>
  <si>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</si>
  <si>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</si>
  <si>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</si>
  <si>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</si>
  <si>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</si>
  <si>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</si>
  <si>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</si>
  <si>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</si>
  <si>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</si>
  <si>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</si>
  <si>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</si>
  <si>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>Количество обслуживаемых договоров - всего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</si>
  <si>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</si>
  <si>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</si>
  <si>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</si>
  <si>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</si>
  <si>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</si>
  <si>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</si>
  <si>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</si>
  <si>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</si>
  <si>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>Количество точек учета по обслуживаемым договорам - всего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</si>
  <si>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</si>
  <si>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</si>
  <si>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</si>
  <si>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</si>
  <si>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</si>
  <si>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</si>
  <si>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</si>
  <si>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</si>
  <si>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Необходимая валовая выручка гарантирующего поставщика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</si>
  <si>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</si>
  <si>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</si>
  <si>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</si>
  <si>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</si>
  <si>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</si>
  <si>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</si>
  <si>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</si>
  <si>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</si>
  <si>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</si>
  <si>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</si>
  <si>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</si>
  <si>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</si>
  <si>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</si>
  <si>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</si>
  <si>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</si>
  <si>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</si>
  <si>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</si>
  <si>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</si>
  <si>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</si>
  <si>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</si>
  <si>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</si>
  <si>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</si>
  <si>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</si>
  <si>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</si>
  <si>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* Базовый период - год, предшествующий расчетному периоду регулирования.</t>
  </si>
  <si>
    <t>Приложение N 5</t>
  </si>
  <si>
    <t>Раздел 3. Цены (тарифы) по регулируемым видам деятельности организации</t>
  </si>
  <si>
    <t>1-е полугодие</t>
  </si>
  <si>
    <t>2-е полугодие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</si>
  <si>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</si>
  <si>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</si>
  <si>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</si>
  <si>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</si>
  <si>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</si>
  <si>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П Р Е Д Л О Ж Е Н И Е</t>
  </si>
  <si>
    <t xml:space="preserve">      о размере цен (тарифов), долгосрочных параметров регулирования</t>
  </si>
  <si>
    <t xml:space="preserve">                             (расчетный период регулирования)</t>
  </si>
  <si>
    <t xml:space="preserve">          (полное и сокращенное наименование юридического лица)</t>
  </si>
  <si>
    <t>Показатели утвержденные на базовый период</t>
  </si>
  <si>
    <t>тыс.кВтч</t>
  </si>
  <si>
    <t>Приложение N 4</t>
  </si>
  <si>
    <t>Открытое акционерное общество "Красноярскэнергосбыт"</t>
  </si>
  <si>
    <t>ОАО "Красноярскэнергосбыт"</t>
  </si>
  <si>
    <t>Исполнительный директор Дьяченко Олег Владимирович</t>
  </si>
  <si>
    <t>660017, г.Красноярск, ул. Дубровинского, д.43</t>
  </si>
  <si>
    <t>(391) 263-99-59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</si>
  <si>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2015</t>
    </r>
    <r>
      <rPr>
        <b/>
        <sz val="11"/>
        <color rgb="FF26282F"/>
        <rFont val="Arial"/>
        <family val="2"/>
        <charset val="204"/>
      </rPr>
      <t>____________________ год</t>
    </r>
  </si>
  <si>
    <r>
      <t xml:space="preserve"> ____</t>
    </r>
    <r>
      <rPr>
        <u/>
        <sz val="11"/>
        <color theme="1"/>
        <rFont val="Arial"/>
        <family val="2"/>
        <charset val="204"/>
      </rPr>
      <t>Открытое акционерное общество "Красноярскэнергосбыт"_______________</t>
    </r>
  </si>
  <si>
    <r>
      <t xml:space="preserve"> _____</t>
    </r>
    <r>
      <rPr>
        <u/>
        <sz val="11"/>
        <color theme="1"/>
        <rFont val="Arial"/>
        <family val="2"/>
        <charset val="204"/>
      </rPr>
      <t>ОАО "Красноярскэнергосбыт"</t>
    </r>
    <r>
      <rPr>
        <sz val="11"/>
        <color theme="1"/>
        <rFont val="Arial"/>
        <family val="2"/>
        <charset val="204"/>
      </rPr>
      <t>________________________________________</t>
    </r>
  </si>
  <si>
    <t>(391) 212-08-51</t>
  </si>
  <si>
    <t>kanz@es.krasnoyarsk.ru</t>
  </si>
  <si>
    <t>-</t>
  </si>
  <si>
    <t>в плане не выделяется</t>
  </si>
  <si>
    <t>советом директоров ОАО "Красноярск-энергосбыт" 29.10.2013, протокол № 102</t>
  </si>
  <si>
    <t>советом директоров ОАО "Красноярск-энергосбыт" 29.05.2014, протокол № 109</t>
  </si>
  <si>
    <t>строка</t>
  </si>
  <si>
    <t>январь</t>
  </si>
  <si>
    <t>февраль</t>
  </si>
  <si>
    <t>март</t>
  </si>
  <si>
    <t>апрель</t>
  </si>
  <si>
    <t>май</t>
  </si>
  <si>
    <t>июнь</t>
  </si>
  <si>
    <t>форма 46-ЭЭ</t>
  </si>
  <si>
    <t>1 полугод.</t>
  </si>
  <si>
    <t>ПАО "Красноярскэнергосбыт"</t>
  </si>
  <si>
    <t>Фактические показатели за год, предшествующий базовому периоду     2015 год</t>
  </si>
  <si>
    <r>
      <t xml:space="preserve"> ____</t>
    </r>
    <r>
      <rPr>
        <u/>
        <sz val="11"/>
        <color theme="1"/>
        <rFont val="Arial"/>
        <family val="2"/>
        <charset val="204"/>
      </rPr>
      <t>Публичное акционерное общество "Красноярскэнергосбыт"_______________</t>
    </r>
  </si>
  <si>
    <r>
      <t xml:space="preserve"> _____</t>
    </r>
    <r>
      <rPr>
        <u/>
        <sz val="11"/>
        <color theme="1"/>
        <rFont val="Arial"/>
        <family val="2"/>
        <charset val="204"/>
      </rPr>
      <t>ПАО "Красноярскэнергосбыт"</t>
    </r>
    <r>
      <rPr>
        <sz val="11"/>
        <color theme="1"/>
        <rFont val="Arial"/>
        <family val="2"/>
        <charset val="204"/>
      </rPr>
      <t>________________________________________</t>
    </r>
  </si>
  <si>
    <t>Публичное акционерное общество "Красноярскэнергосбыт"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</si>
  <si>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2019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</si>
  <si>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2019 год</t>
  </si>
  <si>
    <t>Показатели утвержденные на базовый период 2018 год</t>
  </si>
  <si>
    <t>Утверждена Минэнерго России 27.10.2017 № 3, http://minenergo.gov.ru/node/4199</t>
  </si>
  <si>
    <t>Утверждена Минэнерго России 31.10.2016 № 1164, http://minenergo.gov.ru/node/4199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</si>
  <si>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2020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</si>
  <si>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2020 год</t>
  </si>
  <si>
    <t>Показатели утвержденные на базовый период 2019 год</t>
  </si>
  <si>
    <t>менее 670 кВт</t>
  </si>
  <si>
    <t>величина сбытовой надбавки для населения и приравненных к нему категорий потребителей</t>
  </si>
  <si>
    <t>рублей/ Мвт.ч</t>
  </si>
  <si>
    <t>величина сбытовой надбавки для сетевых организаций, покупающих электрическую энергию для компенсации потерь электрической энергии</t>
  </si>
  <si>
    <t>величина сбытовой надбавки для прочих потребителей</t>
  </si>
  <si>
    <t>Приказом Минэнерго России 27.10.2017 № 3, http://minenergo.gov.ru/node/4199</t>
  </si>
  <si>
    <t>Фактические показатели за год, предшествующий базовому периоду     2019 год</t>
  </si>
  <si>
    <t xml:space="preserve">Приказом Министерства промышленности, энергетики и жилищно-коммунального хозяйства Красноярского края от 31.10.2018 № 08-182 http://www.krskstate.ru/promtorg/energy/elektroseti/0/id/25175. 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</si>
  <si>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2021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</si>
  <si>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2021 год</t>
  </si>
  <si>
    <t>Показатели утвержденные на базовый период 2020 год</t>
  </si>
  <si>
    <t>(391) 212-05-52</t>
  </si>
  <si>
    <t>Приказом Министерства промышленности, энергетики и жилищно-коммунального хозяйства Красноярского края от 31.10.2019 № 08-176 http://www.krskstate.ru/promtorg/energy/elektroseti/0/id/25176</t>
  </si>
  <si>
    <t>величина сбытовой надбавки для населения и приравненных к нему категорий потребителей с НДС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</si>
  <si>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2022</t>
    </r>
    <r>
      <rPr>
        <b/>
        <sz val="11"/>
        <color rgb="FF26282F"/>
        <rFont val="Arial"/>
        <family val="2"/>
        <charset val="204"/>
      </rPr>
      <t>____________________ год</t>
    </r>
  </si>
  <si>
    <t>Показатели утвержденные на базовый период 2021 год</t>
  </si>
  <si>
    <t>Предложения на расчетный период регулирования 2022 год</t>
  </si>
  <si>
    <t>Фактические показатели за год, предшествую-щий базовому периоду   2020 год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</si>
  <si>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2023</t>
    </r>
    <r>
      <rPr>
        <b/>
        <sz val="11"/>
        <color rgb="FF26282F"/>
        <rFont val="Arial"/>
        <family val="2"/>
        <charset val="204"/>
      </rPr>
      <t>____________________ год</t>
    </r>
  </si>
  <si>
    <t>Фактические показатели за год, предшествую-щий базовому периоду   2021 год</t>
  </si>
  <si>
    <t>Показатели утвержденные на базовый период 2022 год</t>
  </si>
  <si>
    <t>Предложения на расчетный период регулирования 2023 год</t>
  </si>
  <si>
    <t>Показатели утвержденные на базовый период 2023 год</t>
  </si>
  <si>
    <t>2-е полугодие и 2 квартал</t>
  </si>
  <si>
    <t>1-е полугодие (1 квартал)</t>
  </si>
  <si>
    <t>Предложения на расчетный период регулирования 2024 год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</si>
  <si>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2024</t>
    </r>
    <r>
      <rPr>
        <b/>
        <sz val="11"/>
        <color rgb="FF26282F"/>
        <rFont val="Arial"/>
        <family val="2"/>
        <charset val="204"/>
      </rPr>
      <t>____________________ год</t>
    </r>
  </si>
  <si>
    <t>Фактические показатели за год, предшествующий базовому периоду   2022 год</t>
  </si>
  <si>
    <t>Приказом Министерства промышленности, энергетики и жилищно-коммунального хозяйства Красноярского края от 30.10.2019 № 08-176 http://www.krskstate.ru/promtorg/energy/elektroseti/0/id/25175</t>
  </si>
  <si>
    <t>Предложения по корректировке инвестиционной программы ПАО "Красноярскэнергосбыт на 2024-2028 гг     http://www.krskstate.ru/dat/bin/art_attach/22415_materiali_proekta_ipr_pao_krasnoyrskqnergosbit_ot_11.04.2023.zip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</si>
  <si>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2025</t>
    </r>
    <r>
      <rPr>
        <b/>
        <sz val="11"/>
        <color rgb="FF26282F"/>
        <rFont val="Arial"/>
        <family val="2"/>
        <charset val="204"/>
      </rPr>
      <t>____________________ год</t>
    </r>
  </si>
  <si>
    <t>Фактические показатели за год, предшествующий базовому периоду   2023 год</t>
  </si>
  <si>
    <t>Показатели утвержденные на базовый период 2024 год</t>
  </si>
  <si>
    <t>Предложения на расчетный период регулирования 2025 год</t>
  </si>
  <si>
    <t xml:space="preserve">2-е полугодие </t>
  </si>
  <si>
    <t>Приказ от 30.08.2023 № 144 "Об утверждении инвестиционной программы публичного акционерного общества "Красноярскэнергосбыт" на 2024-2028 годы и изменений, вносимых в инвестиционную программу публичного акционерного общества "Красноярскэнергосбыт" на 2023-</t>
  </si>
  <si>
    <t>Приказ от 30.09.2024 №141 "Об утверждении инвестиционной программы публичного акционерного общества «Красноярскэнергосбыт» (ИНН 2466132221) на 2024–2029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</si>
</sst>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0.000"/>
    <numFmt numFmtId="166" formatCode="#,##0.000"/>
    <numFmt numFmtId="167" formatCode="#,##0.0"/>
  </numFmts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rgb="FF26282F"/>
      <name val="Arial"/>
      <family val="2"/>
      <charset val="204"/>
    </font>
    <font>
      <sz val="11"/>
      <color theme="1"/>
      <name val="Arial"/>
      <family val="2"/>
      <charset val="204"/>
    </font>
    <font>
      <b/>
      <u/>
      <sz val="11"/>
      <color rgb="FF26282F"/>
      <name val="Arial"/>
      <family val="2"/>
      <charset val="204"/>
    </font>
    <font>
      <u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164" fontId="10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justify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1" applyFont="1" applyAlignment="1" applyProtection="1">
      <alignment horizontal="left"/>
    </xf>
    <xf numFmtId="0" fontId="7" fillId="0" borderId="0" xfId="1" applyFont="1" applyAlignment="1" applyProtection="1">
      <alignment horizontal="left"/>
    </xf>
    <xf numFmtId="0" fontId="1" fillId="0" borderId="0" xfId="1" applyFont="1" applyAlignment="1" applyProtection="1"/>
    <xf numFmtId="0" fontId="2" fillId="0" borderId="0" xfId="0" applyFont="1" applyAlignment="1">
      <alignment horizontal="right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/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/>
    <xf numFmtId="165" fontId="8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8" fillId="0" borderId="0" xfId="0" applyNumberFormat="1" applyFont="1" applyAlignment="1">
      <alignment vertical="center"/>
    </xf>
    <xf numFmtId="165" fontId="0" fillId="0" borderId="0" xfId="0" applyNumberFormat="1" applyAlignment="1">
      <alignment horizontal="center" vertical="center"/>
    </xf>
    <xf numFmtId="3" fontId="3" fillId="0" borderId="0" xfId="0" applyNumberFormat="1" applyFont="1"/>
    <xf numFmtId="0" fontId="7" fillId="0" borderId="0" xfId="0" applyFont="1"/>
    <xf numFmtId="0" fontId="7" fillId="0" borderId="7" xfId="0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6" xfId="0" applyFont="1" applyBorder="1" applyAlignment="1">
      <alignment horizontal="center" vertical="top" wrapText="1"/>
    </xf>
    <xf numFmtId="3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top" wrapText="1"/>
    </xf>
    <xf numFmtId="1" fontId="3" fillId="0" borderId="0" xfId="0" applyNumberFormat="1" applyFont="1"/>
    <xf numFmtId="165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10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center" wrapText="1"/>
    </xf>
    <xf numFmtId="166" fontId="3" fillId="0" borderId="0" xfId="0" applyNumberFormat="1" applyFont="1"/>
    <xf numFmtId="1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5" fontId="7" fillId="2" borderId="10" xfId="0" applyNumberFormat="1" applyFont="1" applyFill="1" applyBorder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7" fontId="7" fillId="2" borderId="8" xfId="0" applyNumberFormat="1" applyFont="1" applyFill="1" applyBorder="1" applyAlignment="1">
      <alignment horizontal="center" vertical="center" wrapText="1"/>
    </xf>
    <xf numFmtId="167" fontId="7" fillId="2" borderId="10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7" fontId="3" fillId="0" borderId="0" xfId="0" applyNumberFormat="1" applyFont="1"/>
    <xf numFmtId="0" fontId="1" fillId="0" borderId="0" xfId="1" applyAlignment="1" applyProtection="1"/>
    <xf numFmtId="0" fontId="1" fillId="0" borderId="0" xfId="1" applyAlignment="1" applyProtection="1">
      <alignment vertical="center" wrapText="1"/>
    </xf>
    <xf numFmtId="0" fontId="7" fillId="2" borderId="7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2" borderId="10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2" fillId="2" borderId="8" xfId="0" applyFont="1" applyFill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justify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6" fontId="3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2" fontId="7" fillId="0" borderId="8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2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7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1" applyFont="1" applyFill="1" applyAlignment="1" applyProtection="1">
      <alignment horizontal="left"/>
    </xf>
    <xf numFmtId="1" fontId="7" fillId="2" borderId="0" xfId="0" applyNumberFormat="1" applyFont="1" applyFill="1" applyAlignment="1">
      <alignment horizontal="center"/>
    </xf>
    <xf numFmtId="3" fontId="7" fillId="2" borderId="8" xfId="0" applyNumberFormat="1" applyFont="1" applyFill="1" applyBorder="1" applyAlignment="1">
      <alignment horizontal="justify" vertical="center" wrapText="1"/>
    </xf>
    <xf numFmtId="0" fontId="7" fillId="2" borderId="0" xfId="0" applyFont="1" applyFill="1" applyAlignment="1"/>
    <xf numFmtId="0" fontId="7" fillId="2" borderId="9" xfId="0" applyFont="1" applyFill="1" applyBorder="1" applyAlignment="1">
      <alignment horizontal="center" vertical="top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2" fontId="7" fillId="2" borderId="5" xfId="0" applyNumberFormat="1" applyFont="1" applyFill="1" applyBorder="1" applyAlignment="1">
      <alignment horizontal="center" vertical="top" wrapText="1"/>
    </xf>
    <xf numFmtId="0" fontId="1" fillId="2" borderId="5" xfId="1" applyFill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5" fontId="3" fillId="0" borderId="0" xfId="0" applyNumberFormat="1" applyFont="1"/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1" fillId="0" borderId="5" xfId="1" applyBorder="1" applyAlignment="1" applyProtection="1">
      <alignment horizontal="center" vertical="center" wrapText="1"/>
    </xf>
  </cellXfs>
  <cellStyles count="4">
    <cellStyle name="Гиперссылка" xfId="1" builtinId="8"/>
    <cellStyle name="Обычный" xfId="0" builtinId="0"/>
    <cellStyle name="Стиль 1" xfId="2"/>
    <cellStyle name="Финансовый 1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163</xdr:row>
      <xdr:rowOff>0</xdr:rowOff>
    </xdr:from>
    <xdr:to>
      <xdr:col>3</xdr:col>
      <xdr:colOff>114300</xdr:colOff>
      <xdr:row>163</xdr:row>
      <xdr:rowOff>161925</xdr:rowOff>
    </xdr:to>
    <xdr:pic>
      <xdr:nvPicPr>
        <xdr:cNvPr id="2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52654200"/>
          <a:ext cx="97155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114300</xdr:colOff>
      <xdr:row>164</xdr:row>
      <xdr:rowOff>161925</xdr:rowOff>
    </xdr:to>
    <xdr:pic>
      <xdr:nvPicPr>
        <xdr:cNvPr id="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53425725"/>
          <a:ext cx="971550" cy="161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163</xdr:row>
      <xdr:rowOff>0</xdr:rowOff>
    </xdr:from>
    <xdr:to>
      <xdr:col>3</xdr:col>
      <xdr:colOff>114300</xdr:colOff>
      <xdr:row>163</xdr:row>
      <xdr:rowOff>161925</xdr:rowOff>
    </xdr:to>
    <xdr:pic>
      <xdr:nvPicPr>
        <xdr:cNvPr id="1094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1942800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114300</xdr:colOff>
      <xdr:row>164</xdr:row>
      <xdr:rowOff>161925</xdr:rowOff>
    </xdr:to>
    <xdr:pic>
      <xdr:nvPicPr>
        <xdr:cNvPr id="109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5752800"/>
          <a:ext cx="723900" cy="161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z@es.krasnoyarsk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rskstate.ru/dat/bin/art_attach/29615_prikaz_ot_30.09.2024_141.7z" TargetMode="External"/><Relationship Id="rId2" Type="http://schemas.openxmlformats.org/officeDocument/2006/relationships/hyperlink" Target="http://www.krskstate.ru/dat/bin/art_attach/29615_prikaz_ot_30.09.2024_141.7z" TargetMode="External"/><Relationship Id="rId1" Type="http://schemas.openxmlformats.org/officeDocument/2006/relationships/hyperlink" Target="mailto:kanz@es.krasnoyarsk.ru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krskstate.ru/dat/bin/art_attach/23964_prikaz_ot_30.08.2023_144.7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krskstate.ru/dat/bin/art_attach/22415_materiali_proekta_ipr_pao_krasnoyrskqnergosbit_ot_11.04.2023.zip" TargetMode="External"/><Relationship Id="rId1" Type="http://schemas.openxmlformats.org/officeDocument/2006/relationships/hyperlink" Target="mailto:kanz@es.krasnoyarsk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nz@es.krasnoyarsk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anz@es.krasnoyarsk.ru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kanz@es.krasnoyarsk.ru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kanz@es.krasnoyarsk.ru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kanz@es.krasnoyarsk.ru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workbookViewId="0">
      <selection activeCell="A3" sqref="A3:E3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7" t="s">
        <v>120</v>
      </c>
      <c r="B1" s="167"/>
      <c r="C1" s="167"/>
      <c r="D1" s="167"/>
      <c r="E1" s="167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171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1" t="s">
        <v>152</v>
      </c>
      <c r="B5" s="161"/>
      <c r="C5" s="161"/>
      <c r="D5" s="161"/>
      <c r="E5" s="161"/>
      <c r="F5" s="1"/>
    </row>
    <row r="6" spans="1:6" x14ac:dyDescent="0.2">
      <c r="A6" s="161" t="s">
        <v>123</v>
      </c>
      <c r="B6" s="161"/>
      <c r="C6" s="161"/>
      <c r="D6" s="161"/>
      <c r="E6" s="161"/>
      <c r="F6" s="1"/>
    </row>
    <row r="7" spans="1:6" ht="22.5" customHeight="1" x14ac:dyDescent="0.2">
      <c r="A7" s="161" t="s">
        <v>153</v>
      </c>
      <c r="B7" s="161"/>
      <c r="C7" s="161"/>
      <c r="D7" s="161"/>
      <c r="E7" s="161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1" t="s">
        <v>4</v>
      </c>
      <c r="B18" s="161"/>
      <c r="C18" s="2" t="s">
        <v>154</v>
      </c>
    </row>
    <row r="19" spans="1:3" x14ac:dyDescent="0.2">
      <c r="A19" s="5"/>
    </row>
    <row r="20" spans="1:3" x14ac:dyDescent="0.2">
      <c r="A20" s="161" t="s">
        <v>5</v>
      </c>
      <c r="B20" s="161"/>
      <c r="C20" s="3" t="s">
        <v>150</v>
      </c>
    </row>
    <row r="21" spans="1:3" x14ac:dyDescent="0.2">
      <c r="A21" s="5"/>
    </row>
    <row r="22" spans="1:3" x14ac:dyDescent="0.2">
      <c r="A22" s="161" t="s">
        <v>6</v>
      </c>
      <c r="B22" s="161"/>
      <c r="C22" s="2" t="s">
        <v>130</v>
      </c>
    </row>
    <row r="23" spans="1:3" x14ac:dyDescent="0.2">
      <c r="A23" s="5"/>
    </row>
    <row r="24" spans="1:3" x14ac:dyDescent="0.2">
      <c r="A24" s="161" t="s">
        <v>7</v>
      </c>
      <c r="B24" s="161"/>
      <c r="C24" s="2" t="s">
        <v>130</v>
      </c>
    </row>
    <row r="25" spans="1:3" x14ac:dyDescent="0.2">
      <c r="A25" s="5"/>
    </row>
    <row r="26" spans="1:3" x14ac:dyDescent="0.2">
      <c r="A26" s="161" t="s">
        <v>8</v>
      </c>
      <c r="B26" s="161"/>
      <c r="C26" s="4">
        <v>2466132221</v>
      </c>
    </row>
    <row r="27" spans="1:3" x14ac:dyDescent="0.2">
      <c r="A27" s="5"/>
    </row>
    <row r="28" spans="1:3" x14ac:dyDescent="0.2">
      <c r="A28" s="161" t="s">
        <v>9</v>
      </c>
      <c r="B28" s="161"/>
      <c r="C28" s="3">
        <v>246601001</v>
      </c>
    </row>
    <row r="29" spans="1:3" x14ac:dyDescent="0.2">
      <c r="A29" s="5"/>
    </row>
    <row r="30" spans="1:3" x14ac:dyDescent="0.2">
      <c r="A30" s="161" t="s">
        <v>10</v>
      </c>
      <c r="B30" s="161"/>
      <c r="C30" s="2" t="s">
        <v>129</v>
      </c>
    </row>
    <row r="31" spans="1:3" x14ac:dyDescent="0.2">
      <c r="A31" s="5"/>
    </row>
    <row r="32" spans="1:3" ht="15" x14ac:dyDescent="0.25">
      <c r="A32" s="161" t="s">
        <v>11</v>
      </c>
      <c r="B32" s="161"/>
      <c r="C32" s="10" t="s">
        <v>136</v>
      </c>
    </row>
    <row r="33" spans="1:8" x14ac:dyDescent="0.2">
      <c r="A33" s="5"/>
    </row>
    <row r="34" spans="1:8" x14ac:dyDescent="0.2">
      <c r="A34" s="161" t="s">
        <v>12</v>
      </c>
      <c r="B34" s="161"/>
      <c r="C34" s="2" t="s">
        <v>131</v>
      </c>
    </row>
    <row r="35" spans="1:8" x14ac:dyDescent="0.2">
      <c r="A35" s="5"/>
    </row>
    <row r="36" spans="1:8" x14ac:dyDescent="0.2">
      <c r="A36" s="161" t="s">
        <v>13</v>
      </c>
      <c r="B36" s="161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08" t="s">
        <v>18</v>
      </c>
      <c r="D48" s="58" t="s">
        <v>169</v>
      </c>
      <c r="E48" s="106" t="s">
        <v>173</v>
      </c>
      <c r="F48" s="112" t="s">
        <v>172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11880101.375329001</v>
      </c>
      <c r="E49" s="80">
        <f>E51+E101+E111</f>
        <v>11402304.100000001</v>
      </c>
      <c r="F49" s="96">
        <f>F51+F101+F111</f>
        <v>11341103.967001285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3474555.733329</v>
      </c>
      <c r="E51" s="80">
        <f>E52+E55+E94</f>
        <v>3535867.1000000006</v>
      </c>
      <c r="F51" s="59">
        <f>F52+F55+F94</f>
        <v>3625000.0000012857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2124730.1723890002</v>
      </c>
      <c r="E52" s="80">
        <f t="shared" ref="E52:F55" si="0">E60+E67+E88</f>
        <v>2343916.8349656602</v>
      </c>
      <c r="F52" s="59">
        <f t="shared" si="0"/>
        <v>2406720.9908238351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1075296.5660000001</v>
      </c>
      <c r="E53" s="80">
        <f t="shared" si="0"/>
        <v>1217652.5272482648</v>
      </c>
      <c r="F53" s="59">
        <f t="shared" si="0"/>
        <v>1249886.5100013132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1049433.6063890001</v>
      </c>
      <c r="E54" s="80">
        <f t="shared" si="0"/>
        <v>1126264.3077173955</v>
      </c>
      <c r="F54" s="59">
        <f t="shared" si="0"/>
        <v>1156834.4808225224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1349825.5609399998</v>
      </c>
      <c r="E55" s="80">
        <f t="shared" si="0"/>
        <v>984738.29827064765</v>
      </c>
      <c r="F55" s="59">
        <f t="shared" si="0"/>
        <v>1008739.3598882958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744795.69900000002</v>
      </c>
      <c r="E56" s="80">
        <f>E64+E71+E92</f>
        <v>505238.55075173557</v>
      </c>
      <c r="F56" s="59">
        <f>F64+F71+F92</f>
        <v>518758.44500000053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605029.86193999997</v>
      </c>
      <c r="E57" s="80">
        <f>E65+E72+E93</f>
        <v>479499.74751891207</v>
      </c>
      <c r="F57" s="59">
        <f>F65+F72+F93</f>
        <v>489980.91488829511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362341.26</v>
      </c>
      <c r="E59" s="80">
        <f>E60+E63</f>
        <v>401035.82202614704</v>
      </c>
      <c r="F59" s="59">
        <f>F60+F63</f>
        <v>397500.736231649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249983.78606000001</v>
      </c>
      <c r="E60" s="80">
        <f>E61+E62</f>
        <v>313876.96350938419</v>
      </c>
      <c r="F60" s="59">
        <f>F61+F62</f>
        <v>312024.85438396793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127862.803</v>
      </c>
      <c r="E61" s="80">
        <v>160219.81522417045</v>
      </c>
      <c r="F61" s="59">
        <v>164671.49427085422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122120.98306000001</v>
      </c>
      <c r="E62" s="80">
        <v>153657.14828521374</v>
      </c>
      <c r="F62" s="59">
        <v>147353.36011311374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112357.47394</v>
      </c>
      <c r="E63" s="80">
        <f>E64+E65</f>
        <v>87158.858516762863</v>
      </c>
      <c r="F63" s="59">
        <f>F64+F65</f>
        <v>85475.88184768107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61943.198000000004</v>
      </c>
      <c r="E64" s="80">
        <v>41443.174439469709</v>
      </c>
      <c r="F64" s="59">
        <v>42884.414320343509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50414.275939999992</v>
      </c>
      <c r="E65" s="80">
        <v>45715.684077293154</v>
      </c>
      <c r="F65" s="59">
        <v>42591.467527337554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1802644.6644640001</v>
      </c>
      <c r="E66" s="80">
        <f>E67+E70</f>
        <v>1849226.4633148683</v>
      </c>
      <c r="F66" s="59">
        <f>F67+F70</f>
        <v>1915867.640488958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1189123.5205640001</v>
      </c>
      <c r="E67" s="80">
        <f>E68+E69</f>
        <v>1344364.2355237033</v>
      </c>
      <c r="F67" s="59">
        <f>F68+F69</f>
        <v>1398723.2464216999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f>602018.317+1103.476</f>
        <v>603121.79300000006</v>
      </c>
      <c r="E68" s="80">
        <f>702569.397460902+1103.476</f>
        <v>703672.87346090202</v>
      </c>
      <c r="F68" s="59">
        <f>721099.27346+50.085</f>
        <v>721149.35846000002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f>585101.352564+900.375</f>
        <v>586001.72756399994</v>
      </c>
      <c r="E69" s="59">
        <f>639557.33315587+1134.0289069313</f>
        <v>640691.36206280126</v>
      </c>
      <c r="F69" s="59">
        <f>677528.366372+45.5215897</f>
        <v>677573.88796169998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613521.14390000002</v>
      </c>
      <c r="E70" s="80">
        <f>E71+E72</f>
        <v>504862.227791165</v>
      </c>
      <c r="F70" s="59">
        <f>F71+F72</f>
        <v>517144.39406725799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f>334114.536+399.28</f>
        <v>334513.81600000005</v>
      </c>
      <c r="E71" s="80">
        <f>265876.649611531+394.755</f>
        <v>266271.404611531</v>
      </c>
      <c r="F71" s="59">
        <f>268777.944491785+39.22</f>
        <v>268817.16449178499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f>278780.4469+226.881</f>
        <v>279007.32789999997</v>
      </c>
      <c r="E72" s="80">
        <f>238281.272179634+309.551</f>
        <v>238590.823179634</v>
      </c>
      <c r="F72" s="59">
        <f>248294.622575473+32.607</f>
        <v>248327.229575473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:F73" si="2">E74+E77</f>
        <v>0</v>
      </c>
      <c r="F73" s="59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:F74" si="3">E75+E76</f>
        <v>0</v>
      </c>
      <c r="F74" s="59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:F77" si="4">E78+E79</f>
        <v>0</v>
      </c>
      <c r="F77" s="59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:F80" si="5">E81+E84</f>
        <v>0</v>
      </c>
      <c r="F80" s="59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:F81" si="6">E82+E83</f>
        <v>0</v>
      </c>
      <c r="F81" s="59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:F84" si="7">E85+E86</f>
        <v>0</v>
      </c>
      <c r="F84" s="59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1101963.957865</v>
      </c>
      <c r="E87" s="80">
        <f>E88+E91</f>
        <v>1078392.8478952926</v>
      </c>
      <c r="F87" s="59">
        <f>F88+F91</f>
        <v>1102091.9739915244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550957.47476500005</v>
      </c>
      <c r="E88" s="80">
        <f>E89+E90</f>
        <v>685675.63593257277</v>
      </c>
      <c r="F88" s="59">
        <f>F89+F90</f>
        <v>695972.89001816767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v>279192.27400000003</v>
      </c>
      <c r="E89" s="80">
        <v>353759.8385631924</v>
      </c>
      <c r="F89" s="59">
        <v>364065.65727045905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271765.20076500002</v>
      </c>
      <c r="E90" s="80">
        <v>331915.79736938037</v>
      </c>
      <c r="F90" s="59">
        <v>331907.23274770868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0">
        <f>D92+D93</f>
        <v>551006.48309999995</v>
      </c>
      <c r="E91" s="80">
        <f>E92+E93</f>
        <v>392717.21196271986</v>
      </c>
      <c r="F91" s="59">
        <f>F92+F93</f>
        <v>406119.08397335664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v>306918.946</v>
      </c>
      <c r="E92" s="80">
        <v>197523.9717007349</v>
      </c>
      <c r="F92" s="59">
        <v>207056.86618787204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244087.53709999993</v>
      </c>
      <c r="E93" s="80">
        <v>195193.24026198496</v>
      </c>
      <c r="F93" s="59">
        <v>199062.21778548456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6">
        <f>D95+D98</f>
        <v>207605.85100000002</v>
      </c>
      <c r="E94" s="76">
        <f>E95+E98</f>
        <v>207211.96676369294</v>
      </c>
      <c r="F94" s="77">
        <f>F95+F98</f>
        <v>209539.64928915503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134665.391</v>
      </c>
      <c r="E95" s="76">
        <f>E96+E97</f>
        <v>136609.04528260458</v>
      </c>
      <c r="F95" s="77">
        <f>F96+F97</f>
        <v>135977.35117745009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65119.695999999996</v>
      </c>
      <c r="E96" s="76">
        <v>65905.552999999985</v>
      </c>
      <c r="F96" s="77">
        <v>65844.030999999988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69545.695000000007</v>
      </c>
      <c r="E97" s="76">
        <v>70703.492282604595</v>
      </c>
      <c r="F97" s="77">
        <v>70133.320177450107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72940.460000000006</v>
      </c>
      <c r="E98" s="76">
        <f>E99+E100</f>
        <v>70602.921481088357</v>
      </c>
      <c r="F98" s="77">
        <f>F99+F100</f>
        <v>73562.298111704949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41419.739000000001</v>
      </c>
      <c r="E99" s="76">
        <v>40938.869000000006</v>
      </c>
      <c r="F99" s="77">
        <v>41361.014000000003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31520.721000000001</v>
      </c>
      <c r="E100" s="76">
        <v>29664.052481088347</v>
      </c>
      <c r="F100" s="77">
        <v>32201.284111704943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0">
        <f>D102+D105+D108+1067.032+352.592</f>
        <v>6268945.8100000005</v>
      </c>
      <c r="E101" s="80">
        <f>E102+E105+E108</f>
        <v>5862572.2329999991</v>
      </c>
      <c r="F101" s="59">
        <f>F102+F105+F108</f>
        <v>5722600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0">
        <f t="shared" ref="D102:F102" si="8">D103+D104</f>
        <v>3195052.45</v>
      </c>
      <c r="E102" s="80">
        <f t="shared" si="8"/>
        <v>2890835.3307908024</v>
      </c>
      <c r="F102" s="59">
        <f t="shared" si="8"/>
        <v>2974092.3556580897</v>
      </c>
    </row>
    <row r="103" spans="1:10" ht="23.25" customHeight="1" x14ac:dyDescent="0.2">
      <c r="A103" s="36"/>
      <c r="B103" s="30" t="s">
        <v>28</v>
      </c>
      <c r="C103" s="31" t="s">
        <v>125</v>
      </c>
      <c r="D103" s="59">
        <v>1676015.2830000001</v>
      </c>
      <c r="E103" s="80">
        <v>1469566.5089416937</v>
      </c>
      <c r="F103" s="59">
        <v>1492411.2702567163</v>
      </c>
    </row>
    <row r="104" spans="1:10" ht="21.75" customHeight="1" x14ac:dyDescent="0.2">
      <c r="A104" s="36"/>
      <c r="B104" s="30" t="s">
        <v>29</v>
      </c>
      <c r="C104" s="31" t="s">
        <v>125</v>
      </c>
      <c r="D104" s="59">
        <v>1519037.1669999999</v>
      </c>
      <c r="E104" s="80">
        <v>1421268.8218491087</v>
      </c>
      <c r="F104" s="59">
        <v>1481681.0854013734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59">
        <f t="shared" ref="D105:F105" si="9">D106+D107</f>
        <v>2097394.9340000004</v>
      </c>
      <c r="E105" s="80">
        <f t="shared" si="9"/>
        <v>2026563.568259689</v>
      </c>
      <c r="F105" s="59">
        <f t="shared" si="9"/>
        <v>1933941.0310470862</v>
      </c>
    </row>
    <row r="106" spans="1:10" ht="24.75" customHeight="1" x14ac:dyDescent="0.2">
      <c r="A106" s="36"/>
      <c r="B106" s="30" t="s">
        <v>28</v>
      </c>
      <c r="C106" s="31" t="s">
        <v>125</v>
      </c>
      <c r="D106" s="59">
        <v>1077297.33</v>
      </c>
      <c r="E106" s="80">
        <v>1035096.8177275582</v>
      </c>
      <c r="F106" s="59">
        <v>979674.10462611204</v>
      </c>
    </row>
    <row r="107" spans="1:10" ht="22.5" customHeight="1" x14ac:dyDescent="0.2">
      <c r="A107" s="36"/>
      <c r="B107" s="30" t="s">
        <v>29</v>
      </c>
      <c r="C107" s="31" t="s">
        <v>125</v>
      </c>
      <c r="D107" s="59">
        <v>1020097.6040000001</v>
      </c>
      <c r="E107" s="80">
        <v>991466.75053213071</v>
      </c>
      <c r="F107" s="59">
        <v>954266.92642097408</v>
      </c>
    </row>
    <row r="108" spans="1:10" ht="25.5" customHeight="1" x14ac:dyDescent="0.2">
      <c r="A108" s="36"/>
      <c r="B108" s="30" t="s">
        <v>61</v>
      </c>
      <c r="C108" s="31" t="s">
        <v>125</v>
      </c>
      <c r="D108" s="59">
        <f t="shared" ref="D108:F108" si="10">D109+D110</f>
        <v>975078.80200000003</v>
      </c>
      <c r="E108" s="80">
        <f t="shared" si="10"/>
        <v>945173.33394950791</v>
      </c>
      <c r="F108" s="59">
        <f t="shared" si="10"/>
        <v>814566.61329482426</v>
      </c>
    </row>
    <row r="109" spans="1:10" ht="26.25" customHeight="1" x14ac:dyDescent="0.2">
      <c r="A109" s="36"/>
      <c r="B109" s="30" t="s">
        <v>28</v>
      </c>
      <c r="C109" s="31" t="s">
        <v>125</v>
      </c>
      <c r="D109" s="59">
        <v>521430.11300000001</v>
      </c>
      <c r="E109" s="80">
        <v>482883.81433074776</v>
      </c>
      <c r="F109" s="59">
        <v>430434.62511717179</v>
      </c>
    </row>
    <row r="110" spans="1:10" ht="24" customHeight="1" x14ac:dyDescent="0.2">
      <c r="A110" s="36"/>
      <c r="B110" s="30" t="s">
        <v>29</v>
      </c>
      <c r="C110" s="31" t="s">
        <v>125</v>
      </c>
      <c r="D110" s="59">
        <v>453648.68900000001</v>
      </c>
      <c r="E110" s="80">
        <v>462289.51961876015</v>
      </c>
      <c r="F110" s="59">
        <v>384131.98817765241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0">
        <f t="shared" ref="D111:F111" si="11">D112+D113</f>
        <v>2136599.8319999999</v>
      </c>
      <c r="E111" s="80">
        <f t="shared" si="11"/>
        <v>2003864.767</v>
      </c>
      <c r="F111" s="59">
        <f t="shared" si="11"/>
        <v>1993503.9669999999</v>
      </c>
    </row>
    <row r="112" spans="1:10" ht="25.5" customHeight="1" x14ac:dyDescent="0.2">
      <c r="A112" s="36"/>
      <c r="B112" s="30" t="s">
        <v>64</v>
      </c>
      <c r="C112" s="31" t="s">
        <v>125</v>
      </c>
      <c r="D112" s="59">
        <v>1046753.73</v>
      </c>
      <c r="E112" s="80">
        <v>1074221.889</v>
      </c>
      <c r="F112" s="59">
        <v>1068839.0889999999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59">
        <v>1089846.102</v>
      </c>
      <c r="E113" s="80">
        <v>929642.87800000003</v>
      </c>
      <c r="F113" s="59">
        <v>924664.87800000003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1092.0139999999999</v>
      </c>
      <c r="E114" s="82">
        <f t="shared" ref="E114:F114" si="12">E116+E117</f>
        <v>1124.133</v>
      </c>
      <c r="F114" s="63">
        <f t="shared" si="12"/>
        <v>1157.325</v>
      </c>
    </row>
    <row r="115" spans="1:8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100">
        <f>2.758+1060.1</f>
        <v>1062.8579999999999</v>
      </c>
      <c r="E116" s="65">
        <f>2.8+1091.903</f>
        <v>1094.703</v>
      </c>
      <c r="F116" s="65">
        <f>2.839+1124.66</f>
        <v>1127.499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29.155999999999995</v>
      </c>
      <c r="E117" s="101">
        <f t="shared" ref="E117:F117" si="13">E118+E119+E120</f>
        <v>29.43</v>
      </c>
      <c r="F117" s="101">
        <f t="shared" si="13"/>
        <v>29.826000000000001</v>
      </c>
    </row>
    <row r="118" spans="1:8" ht="22.5" customHeight="1" x14ac:dyDescent="0.2">
      <c r="A118" s="36"/>
      <c r="B118" s="30" t="s">
        <v>163</v>
      </c>
      <c r="C118" s="31" t="s">
        <v>70</v>
      </c>
      <c r="D118" s="82">
        <v>28.672999999999998</v>
      </c>
      <c r="E118" s="63">
        <v>28.936</v>
      </c>
      <c r="F118" s="63">
        <v>29.323</v>
      </c>
    </row>
    <row r="119" spans="1:8" ht="21" customHeight="1" x14ac:dyDescent="0.2">
      <c r="A119" s="36"/>
      <c r="B119" s="30" t="s">
        <v>60</v>
      </c>
      <c r="C119" s="31" t="s">
        <v>70</v>
      </c>
      <c r="D119" s="82">
        <v>0.46100000000000002</v>
      </c>
      <c r="E119" s="63">
        <v>0.47499999999999998</v>
      </c>
      <c r="F119" s="63">
        <v>0.48499999999999999</v>
      </c>
    </row>
    <row r="120" spans="1:8" ht="24" customHeight="1" x14ac:dyDescent="0.2">
      <c r="A120" s="36"/>
      <c r="B120" s="30" t="s">
        <v>61</v>
      </c>
      <c r="C120" s="31" t="s">
        <v>70</v>
      </c>
      <c r="D120" s="82">
        <v>2.1999999999999999E-2</v>
      </c>
      <c r="E120" s="63">
        <v>1.9E-2</v>
      </c>
      <c r="F120" s="63">
        <v>1.7999999999999999E-2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82">
        <v>4.8000000000000001E-2</v>
      </c>
      <c r="E121" s="65">
        <v>0.05</v>
      </c>
      <c r="F121" s="65">
        <v>0.05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1199457</v>
      </c>
      <c r="E122" s="84">
        <f>E124+E125</f>
        <v>1233351</v>
      </c>
      <c r="F122" s="62">
        <v>1286068</v>
      </c>
      <c r="H122" s="56"/>
    </row>
    <row r="123" spans="1:8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1093722+2562+21376</f>
        <v>1117660</v>
      </c>
      <c r="E124" s="62">
        <f>1126534+22085+2610</f>
        <v>1151229</v>
      </c>
      <c r="F124" s="62">
        <v>1199339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81797</v>
      </c>
      <c r="E125" s="62">
        <f t="shared" ref="E125:F125" si="14">E126+E127+E128</f>
        <v>82122</v>
      </c>
      <c r="F125" s="62">
        <f t="shared" si="14"/>
        <v>82794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79601</v>
      </c>
      <c r="E126" s="62">
        <v>79838</v>
      </c>
      <c r="F126" s="62">
        <v>80636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1800</v>
      </c>
      <c r="E127" s="62">
        <v>1780</v>
      </c>
      <c r="F127" s="62">
        <v>1762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396</v>
      </c>
      <c r="E128" s="62">
        <v>504</v>
      </c>
      <c r="F128" s="62">
        <v>396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84">
        <v>2698142.97</v>
      </c>
      <c r="E130" s="62">
        <v>3148355.56</v>
      </c>
      <c r="F130" s="62">
        <v>4683239.3257646179</v>
      </c>
    </row>
    <row r="131" spans="1:8" ht="42.75" x14ac:dyDescent="0.2">
      <c r="A131" s="27" t="s">
        <v>87</v>
      </c>
      <c r="B131" s="15" t="s">
        <v>88</v>
      </c>
      <c r="C131" s="16"/>
      <c r="D131" s="66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84">
        <v>1081</v>
      </c>
      <c r="E132" s="62">
        <v>1166.8</v>
      </c>
      <c r="F132" s="62">
        <v>1166.8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4">
        <v>59.091999999999999</v>
      </c>
      <c r="E133" s="103">
        <v>60.259</v>
      </c>
      <c r="F133" s="103">
        <v>62.668999999999997</v>
      </c>
    </row>
    <row r="134" spans="1:8" ht="47.25" customHeight="1" x14ac:dyDescent="0.2">
      <c r="A134" s="27" t="s">
        <v>95</v>
      </c>
      <c r="B134" s="15" t="s">
        <v>96</v>
      </c>
      <c r="C134" s="16"/>
      <c r="D134" s="62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84">
        <v>376888.6</v>
      </c>
      <c r="E135" s="62">
        <v>368815.12</v>
      </c>
      <c r="F135" s="62">
        <v>338098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84">
        <v>570767.18000000005</v>
      </c>
      <c r="E136" s="62">
        <v>613844</v>
      </c>
      <c r="F136" s="62">
        <v>616901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84">
        <v>301024.96000000002</v>
      </c>
      <c r="E137" s="62">
        <v>307155.8</v>
      </c>
      <c r="F137" s="62">
        <v>329267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0.11156746078581596</v>
      </c>
      <c r="E139" s="92">
        <f>E137/E130*100%</f>
        <v>9.7560708803804866E-2</v>
      </c>
      <c r="F139" s="92">
        <f>F137/F130*100%</f>
        <v>7.0307532264805114E-2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170</v>
      </c>
      <c r="E140" s="102" t="s">
        <v>170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63"/>
      <c r="B143" s="163"/>
      <c r="C143" s="163"/>
      <c r="D143" s="163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4" t="s">
        <v>112</v>
      </c>
      <c r="B154" s="164"/>
      <c r="C154" s="164"/>
      <c r="D154" s="164"/>
      <c r="E154" s="164"/>
      <c r="F154" s="1"/>
    </row>
    <row r="155" spans="1:9" ht="51.75" customHeight="1" thickBot="1" x14ac:dyDescent="0.25">
      <c r="A155" s="165" t="s">
        <v>16</v>
      </c>
      <c r="B155" s="165" t="s">
        <v>17</v>
      </c>
      <c r="C155" s="165" t="s">
        <v>18</v>
      </c>
      <c r="D155" s="157" t="s">
        <v>19</v>
      </c>
      <c r="E155" s="158"/>
      <c r="F155" s="157" t="s">
        <v>173</v>
      </c>
      <c r="G155" s="158"/>
      <c r="H155" s="159" t="s">
        <v>20</v>
      </c>
      <c r="I155" s="160"/>
    </row>
    <row r="156" spans="1:9" ht="32.25" customHeight="1" thickBot="1" x14ac:dyDescent="0.25">
      <c r="A156" s="166"/>
      <c r="B156" s="166"/>
      <c r="C156" s="166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213.9</v>
      </c>
      <c r="E159" s="28">
        <v>396.78</v>
      </c>
      <c r="F159" s="28">
        <v>396.78</v>
      </c>
      <c r="G159" s="28">
        <v>414.02</v>
      </c>
      <c r="H159" s="28">
        <v>414.02</v>
      </c>
      <c r="I159" s="89">
        <f>788.41*1.2</f>
        <v>946.09199999999987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176.47</v>
      </c>
      <c r="E160" s="27">
        <v>318.83999999999997</v>
      </c>
      <c r="F160" s="27">
        <v>205.05</v>
      </c>
      <c r="G160" s="27">
        <v>205.05</v>
      </c>
      <c r="H160" s="27">
        <v>205.05</v>
      </c>
      <c r="I160" s="89">
        <v>840.24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1"/>
      <c r="E161" s="70"/>
      <c r="F161" s="70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241.4</v>
      </c>
      <c r="E162" s="72">
        <v>321.8</v>
      </c>
      <c r="F162" s="72">
        <v>321.8</v>
      </c>
      <c r="G162" s="72">
        <v>334.16</v>
      </c>
      <c r="H162" s="72">
        <v>334.16</v>
      </c>
      <c r="I162" s="72">
        <v>368.75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166.31</v>
      </c>
      <c r="E163" s="72">
        <v>217.61</v>
      </c>
      <c r="F163" s="72">
        <v>217.61</v>
      </c>
      <c r="G163" s="72">
        <v>221.32</v>
      </c>
      <c r="H163" s="72">
        <v>221.32</v>
      </c>
      <c r="I163" s="72">
        <v>264.52999999999997</v>
      </c>
    </row>
    <row r="164" spans="1:9" ht="23.25" customHeight="1" thickBot="1" x14ac:dyDescent="0.25">
      <c r="A164" s="22"/>
      <c r="B164" s="20" t="s">
        <v>61</v>
      </c>
      <c r="C164" s="107" t="s">
        <v>165</v>
      </c>
      <c r="D164" s="73">
        <v>79.73</v>
      </c>
      <c r="E164" s="73">
        <v>167.49</v>
      </c>
      <c r="F164" s="73">
        <v>167.49</v>
      </c>
      <c r="G164" s="105">
        <v>152.30000000000001</v>
      </c>
      <c r="H164" s="105">
        <v>152.30000000000001</v>
      </c>
      <c r="I164" s="105">
        <v>210.75</v>
      </c>
    </row>
    <row r="165" spans="1:9" x14ac:dyDescent="0.2">
      <c r="A165" s="161"/>
      <c r="B165" s="161"/>
      <c r="C165" s="161"/>
      <c r="D165" s="161"/>
      <c r="E165" s="161"/>
      <c r="F165" s="161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topLeftCell="A136" zoomScale="87" zoomScaleNormal="87" workbookViewId="0">
      <selection activeCell="F140" sqref="F140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20.5703125" style="140" customWidth="1"/>
    <col min="5" max="6" width="20.5703125" style="57" customWidth="1"/>
    <col min="7" max="9" width="15.28515625" style="1" customWidth="1"/>
    <col min="10" max="12" width="16.140625" style="1" customWidth="1"/>
    <col min="13" max="13" width="10.140625" style="1" bestFit="1" customWidth="1"/>
    <col min="14" max="16384" width="9.140625" style="1"/>
  </cols>
  <sheetData>
    <row r="1" spans="1:6" ht="15" x14ac:dyDescent="0.2">
      <c r="A1" s="167" t="s">
        <v>120</v>
      </c>
      <c r="B1" s="167"/>
      <c r="C1" s="167"/>
      <c r="D1" s="167"/>
      <c r="E1" s="167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193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1" t="s">
        <v>152</v>
      </c>
      <c r="B5" s="161"/>
      <c r="C5" s="161"/>
      <c r="D5" s="161"/>
      <c r="E5" s="161"/>
      <c r="F5" s="1"/>
    </row>
    <row r="6" spans="1:6" x14ac:dyDescent="0.2">
      <c r="A6" s="161" t="s">
        <v>123</v>
      </c>
      <c r="B6" s="161"/>
      <c r="C6" s="161"/>
      <c r="D6" s="161"/>
      <c r="E6" s="161"/>
      <c r="F6" s="1"/>
    </row>
    <row r="7" spans="1:6" ht="22.5" customHeight="1" x14ac:dyDescent="0.2">
      <c r="A7" s="161" t="s">
        <v>153</v>
      </c>
      <c r="B7" s="161"/>
      <c r="C7" s="161"/>
      <c r="D7" s="161"/>
      <c r="E7" s="161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141"/>
    </row>
    <row r="12" spans="1:6" ht="15" x14ac:dyDescent="0.25">
      <c r="A12" s="8"/>
      <c r="C12" s="8"/>
      <c r="D12" s="142"/>
    </row>
    <row r="13" spans="1:6" ht="15" x14ac:dyDescent="0.25">
      <c r="A13" s="6"/>
      <c r="C13" s="6"/>
      <c r="D13" s="141"/>
    </row>
    <row r="14" spans="1:6" ht="15" x14ac:dyDescent="0.25">
      <c r="A14" s="6"/>
      <c r="C14" s="6"/>
      <c r="D14" s="141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1" t="s">
        <v>4</v>
      </c>
      <c r="B18" s="161"/>
      <c r="C18" s="2" t="s">
        <v>154</v>
      </c>
    </row>
    <row r="19" spans="1:3" x14ac:dyDescent="0.2">
      <c r="A19" s="5"/>
    </row>
    <row r="20" spans="1:3" x14ac:dyDescent="0.2">
      <c r="A20" s="161" t="s">
        <v>5</v>
      </c>
      <c r="B20" s="161"/>
      <c r="C20" s="3" t="s">
        <v>150</v>
      </c>
    </row>
    <row r="21" spans="1:3" x14ac:dyDescent="0.2">
      <c r="A21" s="5"/>
    </row>
    <row r="22" spans="1:3" x14ac:dyDescent="0.2">
      <c r="A22" s="161" t="s">
        <v>6</v>
      </c>
      <c r="B22" s="161"/>
      <c r="C22" s="2" t="s">
        <v>130</v>
      </c>
    </row>
    <row r="23" spans="1:3" x14ac:dyDescent="0.2">
      <c r="A23" s="5"/>
    </row>
    <row r="24" spans="1:3" x14ac:dyDescent="0.2">
      <c r="A24" s="161" t="s">
        <v>7</v>
      </c>
      <c r="B24" s="161"/>
      <c r="C24" s="2" t="s">
        <v>130</v>
      </c>
    </row>
    <row r="25" spans="1:3" x14ac:dyDescent="0.2">
      <c r="A25" s="5"/>
    </row>
    <row r="26" spans="1:3" x14ac:dyDescent="0.2">
      <c r="A26" s="161" t="s">
        <v>8</v>
      </c>
      <c r="B26" s="161"/>
      <c r="C26" s="4">
        <v>2466132221</v>
      </c>
    </row>
    <row r="27" spans="1:3" x14ac:dyDescent="0.2">
      <c r="A27" s="5"/>
    </row>
    <row r="28" spans="1:3" x14ac:dyDescent="0.2">
      <c r="A28" s="161" t="s">
        <v>9</v>
      </c>
      <c r="B28" s="161"/>
      <c r="C28" s="3">
        <v>246601001</v>
      </c>
    </row>
    <row r="29" spans="1:3" x14ac:dyDescent="0.2">
      <c r="A29" s="5"/>
    </row>
    <row r="30" spans="1:3" x14ac:dyDescent="0.2">
      <c r="A30" s="161" t="s">
        <v>10</v>
      </c>
      <c r="B30" s="161"/>
      <c r="C30" s="2" t="s">
        <v>129</v>
      </c>
    </row>
    <row r="31" spans="1:3" x14ac:dyDescent="0.2">
      <c r="A31" s="5"/>
    </row>
    <row r="32" spans="1:3" ht="15" x14ac:dyDescent="0.25">
      <c r="A32" s="161" t="s">
        <v>11</v>
      </c>
      <c r="B32" s="161"/>
      <c r="C32" s="10" t="s">
        <v>136</v>
      </c>
    </row>
    <row r="33" spans="1:8" x14ac:dyDescent="0.2">
      <c r="A33" s="5"/>
    </row>
    <row r="34" spans="1:8" x14ac:dyDescent="0.2">
      <c r="A34" s="161" t="s">
        <v>12</v>
      </c>
      <c r="B34" s="161"/>
      <c r="C34" s="2" t="s">
        <v>131</v>
      </c>
    </row>
    <row r="35" spans="1:8" x14ac:dyDescent="0.2">
      <c r="A35" s="5"/>
    </row>
    <row r="36" spans="1:8" x14ac:dyDescent="0.2">
      <c r="A36" s="161" t="s">
        <v>13</v>
      </c>
      <c r="B36" s="161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  <c r="E44" s="129"/>
    </row>
    <row r="45" spans="1:8" x14ac:dyDescent="0.2">
      <c r="A45" s="5"/>
      <c r="E45" s="129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D47" s="143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53" t="s">
        <v>18</v>
      </c>
      <c r="D48" s="112" t="s">
        <v>194</v>
      </c>
      <c r="E48" s="151" t="s">
        <v>195</v>
      </c>
      <c r="F48" s="112" t="s">
        <v>196</v>
      </c>
    </row>
    <row r="49" spans="1:13" ht="29.25" customHeight="1" x14ac:dyDescent="0.2">
      <c r="A49" s="27" t="s">
        <v>21</v>
      </c>
      <c r="B49" s="30" t="s">
        <v>22</v>
      </c>
      <c r="C49" s="31" t="s">
        <v>125</v>
      </c>
      <c r="D49" s="84">
        <f>D51+D101+D111</f>
        <v>11434796.185999999</v>
      </c>
      <c r="E49" s="96">
        <f>E51+E101+E111</f>
        <v>10779820.000211507</v>
      </c>
      <c r="F49" s="96">
        <f>F51+F101+F111</f>
        <v>11394625.299993999</v>
      </c>
      <c r="G49" s="99"/>
      <c r="I49" s="56"/>
    </row>
    <row r="50" spans="1:13" ht="29.25" customHeight="1" x14ac:dyDescent="0.2">
      <c r="A50" s="36"/>
      <c r="B50" s="30" t="s">
        <v>23</v>
      </c>
      <c r="C50" s="37"/>
      <c r="D50" s="144"/>
      <c r="E50" s="64"/>
      <c r="F50" s="64"/>
    </row>
    <row r="51" spans="1:13" ht="29.25" customHeight="1" x14ac:dyDescent="0.2">
      <c r="A51" s="27" t="s">
        <v>24</v>
      </c>
      <c r="B51" s="30" t="s">
        <v>25</v>
      </c>
      <c r="C51" s="31" t="s">
        <v>125</v>
      </c>
      <c r="D51" s="62">
        <f>D53+D54+D56+D57</f>
        <v>3786090.8889999995</v>
      </c>
      <c r="E51" s="62">
        <f t="shared" ref="E51:F51" si="0">E53+E54+E56+E57</f>
        <v>3824750.1002115086</v>
      </c>
      <c r="F51" s="62">
        <f t="shared" si="0"/>
        <v>3696535.1999939997</v>
      </c>
      <c r="G51" s="98"/>
      <c r="H51" s="109"/>
      <c r="I51" s="86"/>
      <c r="J51" s="86"/>
      <c r="L51" s="56"/>
      <c r="M51" s="56"/>
    </row>
    <row r="52" spans="1:13" ht="29.25" customHeight="1" x14ac:dyDescent="0.2">
      <c r="A52" s="27" t="s">
        <v>26</v>
      </c>
      <c r="B52" s="30" t="s">
        <v>27</v>
      </c>
      <c r="C52" s="31" t="s">
        <v>125</v>
      </c>
      <c r="D52" s="62">
        <f>D60+D67+D88+D81</f>
        <v>1572437.9369999999</v>
      </c>
      <c r="E52" s="62">
        <f t="shared" ref="E52:F55" si="1">E60+E67+E88+E81</f>
        <v>1606648.0551469999</v>
      </c>
      <c r="F52" s="62">
        <f t="shared" si="1"/>
        <v>1824322.0089891718</v>
      </c>
      <c r="G52" s="154"/>
      <c r="L52" s="56"/>
      <c r="M52" s="56"/>
    </row>
    <row r="53" spans="1:13" ht="29.25" customHeight="1" x14ac:dyDescent="0.2">
      <c r="A53" s="36"/>
      <c r="B53" s="30" t="s">
        <v>28</v>
      </c>
      <c r="C53" s="31" t="s">
        <v>125</v>
      </c>
      <c r="D53" s="62">
        <f>D61+D68+D89+D82+D96+31.571</f>
        <v>1071056.2490000001</v>
      </c>
      <c r="E53" s="62">
        <f>E61+E68+E89+E82+E96+32.404</f>
        <v>1090499.4995971899</v>
      </c>
      <c r="F53" s="62">
        <f>F61+F68+F89+F82+F96</f>
        <v>995328.00000043702</v>
      </c>
      <c r="G53" s="154"/>
      <c r="H53" s="154"/>
      <c r="L53" s="97"/>
      <c r="M53" s="56"/>
    </row>
    <row r="54" spans="1:13" ht="29.25" customHeight="1" x14ac:dyDescent="0.2">
      <c r="A54" s="36"/>
      <c r="B54" s="30" t="s">
        <v>29</v>
      </c>
      <c r="C54" s="31" t="s">
        <v>125</v>
      </c>
      <c r="D54" s="62">
        <f>D62+D69+D90+D83+D97+36.755</f>
        <v>1055451.1519999998</v>
      </c>
      <c r="E54" s="62">
        <f>E62+E69+E90+E83+E97+31.587</f>
        <v>1081357.7002452731</v>
      </c>
      <c r="F54" s="62">
        <f>F62+F69+F90+F83+F97</f>
        <v>970081.12875629379</v>
      </c>
      <c r="L54" s="97"/>
      <c r="M54" s="56"/>
    </row>
    <row r="55" spans="1:13" ht="29.25" customHeight="1" x14ac:dyDescent="0.2">
      <c r="A55" s="27" t="s">
        <v>30</v>
      </c>
      <c r="B55" s="30" t="s">
        <v>31</v>
      </c>
      <c r="C55" s="31" t="s">
        <v>125</v>
      </c>
      <c r="D55" s="62">
        <f>D63+D70+D91+D84</f>
        <v>1382863.0409999997</v>
      </c>
      <c r="E55" s="62">
        <f t="shared" si="1"/>
        <v>1373242.044851</v>
      </c>
      <c r="F55" s="62">
        <f t="shared" si="1"/>
        <v>1599845.3063666513</v>
      </c>
      <c r="L55" s="56"/>
      <c r="M55" s="56"/>
    </row>
    <row r="56" spans="1:13" ht="29.25" customHeight="1" x14ac:dyDescent="0.2">
      <c r="A56" s="36"/>
      <c r="B56" s="30" t="s">
        <v>28</v>
      </c>
      <c r="C56" s="31" t="s">
        <v>125</v>
      </c>
      <c r="D56" s="62">
        <f>D64+D71+D92+D85+D99+232.461</f>
        <v>883839.19700000004</v>
      </c>
      <c r="E56" s="62">
        <f>E64+E71+E92+E85+E99+238.412</f>
        <v>891996.00013275188</v>
      </c>
      <c r="F56" s="62">
        <f>F64+F71+F92+F85+F99</f>
        <v>939529.4712391342</v>
      </c>
      <c r="L56" s="56"/>
      <c r="M56" s="56"/>
    </row>
    <row r="57" spans="1:13" ht="29.25" customHeight="1" x14ac:dyDescent="0.2">
      <c r="A57" s="36"/>
      <c r="B57" s="30" t="s">
        <v>29</v>
      </c>
      <c r="C57" s="31" t="s">
        <v>125</v>
      </c>
      <c r="D57" s="62">
        <f>D65+D72+D93+D86+D100+154.79</f>
        <v>775744.29099999997</v>
      </c>
      <c r="E57" s="62">
        <f>E65+E72+E93+E86+E100+192.927</f>
        <v>760896.90023629367</v>
      </c>
      <c r="F57" s="62">
        <f>F65+F72+F93+F86+F100</f>
        <v>791596.59999813465</v>
      </c>
      <c r="L57" s="56"/>
      <c r="M57" s="56"/>
    </row>
    <row r="58" spans="1:13" ht="29.25" customHeight="1" x14ac:dyDescent="0.2">
      <c r="A58" s="36"/>
      <c r="B58" s="30" t="s">
        <v>23</v>
      </c>
      <c r="C58" s="31" t="s">
        <v>125</v>
      </c>
      <c r="D58" s="64"/>
      <c r="E58" s="64"/>
      <c r="F58" s="64"/>
      <c r="L58" s="56"/>
      <c r="M58" s="56"/>
    </row>
    <row r="59" spans="1:13" ht="29.25" customHeight="1" x14ac:dyDescent="0.2">
      <c r="A59" s="27" t="s">
        <v>32</v>
      </c>
      <c r="B59" s="30" t="s">
        <v>33</v>
      </c>
      <c r="C59" s="31" t="s">
        <v>125</v>
      </c>
      <c r="D59" s="62">
        <f>D60+D63</f>
        <v>337952.37699999998</v>
      </c>
      <c r="E59" s="62">
        <f>E60+E63</f>
        <v>349150.10414200003</v>
      </c>
      <c r="F59" s="62">
        <f>F60+F63</f>
        <v>352785.91432257323</v>
      </c>
      <c r="G59" s="86"/>
      <c r="L59" s="56"/>
      <c r="M59" s="56"/>
    </row>
    <row r="60" spans="1:13" ht="29.25" customHeight="1" x14ac:dyDescent="0.2">
      <c r="A60" s="27" t="s">
        <v>34</v>
      </c>
      <c r="B60" s="30" t="s">
        <v>27</v>
      </c>
      <c r="C60" s="31" t="s">
        <v>125</v>
      </c>
      <c r="D60" s="62">
        <f>D61+D62</f>
        <v>211049.644</v>
      </c>
      <c r="E60" s="62">
        <f>E61+E62</f>
        <v>221705.38359500002</v>
      </c>
      <c r="F60" s="62">
        <f>F61+F62</f>
        <v>203684.48377871636</v>
      </c>
      <c r="G60" s="86"/>
      <c r="L60" s="56"/>
      <c r="M60" s="56"/>
    </row>
    <row r="61" spans="1:13" ht="29.25" customHeight="1" x14ac:dyDescent="0.2">
      <c r="A61" s="36"/>
      <c r="B61" s="30" t="s">
        <v>28</v>
      </c>
      <c r="C61" s="31" t="s">
        <v>125</v>
      </c>
      <c r="D61" s="62">
        <v>106829.64200000001</v>
      </c>
      <c r="E61" s="62">
        <v>112735.99557400002</v>
      </c>
      <c r="F61" s="62">
        <v>102251.96976301268</v>
      </c>
      <c r="G61" s="86"/>
      <c r="L61" s="56"/>
      <c r="M61" s="56"/>
    </row>
    <row r="62" spans="1:13" ht="29.25" customHeight="1" x14ac:dyDescent="0.2">
      <c r="A62" s="36"/>
      <c r="B62" s="30" t="s">
        <v>29</v>
      </c>
      <c r="C62" s="31" t="s">
        <v>125</v>
      </c>
      <c r="D62" s="62">
        <v>104220.00199999999</v>
      </c>
      <c r="E62" s="62">
        <v>108969.38802100001</v>
      </c>
      <c r="F62" s="62">
        <v>101432.51401570368</v>
      </c>
      <c r="G62" s="86"/>
      <c r="L62" s="56"/>
      <c r="M62" s="56"/>
    </row>
    <row r="63" spans="1:13" ht="29.2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126902.73300000001</v>
      </c>
      <c r="E63" s="62">
        <f>E64+E65</f>
        <v>127444.720547</v>
      </c>
      <c r="F63" s="62">
        <f>F64+F65</f>
        <v>149101.43054385687</v>
      </c>
      <c r="G63" s="86"/>
      <c r="L63" s="56"/>
      <c r="M63" s="56"/>
    </row>
    <row r="64" spans="1:13" ht="29.25" customHeight="1" x14ac:dyDescent="0.2">
      <c r="A64" s="36"/>
      <c r="B64" s="30" t="s">
        <v>28</v>
      </c>
      <c r="C64" s="31" t="s">
        <v>125</v>
      </c>
      <c r="D64" s="62">
        <v>67184.218999999997</v>
      </c>
      <c r="E64" s="62">
        <v>68944.798450999995</v>
      </c>
      <c r="F64" s="62">
        <v>90837.431793939977</v>
      </c>
      <c r="L64" s="56"/>
      <c r="M64" s="56"/>
    </row>
    <row r="65" spans="1:13" ht="29.25" customHeight="1" x14ac:dyDescent="0.2">
      <c r="A65" s="36"/>
      <c r="B65" s="30" t="s">
        <v>29</v>
      </c>
      <c r="C65" s="31" t="s">
        <v>125</v>
      </c>
      <c r="D65" s="62">
        <v>59718.514000000003</v>
      </c>
      <c r="E65" s="62">
        <v>58499.922096000009</v>
      </c>
      <c r="F65" s="62">
        <v>58263.9987499169</v>
      </c>
      <c r="G65" s="56"/>
      <c r="L65" s="56"/>
      <c r="M65" s="56"/>
    </row>
    <row r="66" spans="1:13" ht="29.2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1247076.57</v>
      </c>
      <c r="E66" s="62">
        <f>E67+E70</f>
        <v>1247988.3784179999</v>
      </c>
      <c r="F66" s="62">
        <f>F67+F70</f>
        <v>1815257.4682899876</v>
      </c>
      <c r="L66" s="56"/>
      <c r="M66" s="56"/>
    </row>
    <row r="67" spans="1:13" ht="29.2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798242.06599999999</v>
      </c>
      <c r="E67" s="62">
        <f>E68+E69</f>
        <v>787335.10306099989</v>
      </c>
      <c r="F67" s="62">
        <f>F68+F69</f>
        <v>1136591.7152007292</v>
      </c>
      <c r="L67" s="56"/>
      <c r="M67" s="56"/>
    </row>
    <row r="68" spans="1:13" ht="29.25" customHeight="1" x14ac:dyDescent="0.2">
      <c r="A68" s="36"/>
      <c r="B68" s="30" t="s">
        <v>28</v>
      </c>
      <c r="C68" s="31" t="s">
        <v>125</v>
      </c>
      <c r="D68" s="62">
        <v>402418.24300000002</v>
      </c>
      <c r="E68" s="62">
        <v>392731.84878099995</v>
      </c>
      <c r="F68" s="62">
        <v>572534.40023016825</v>
      </c>
      <c r="H68" s="56"/>
      <c r="L68" s="56"/>
      <c r="M68" s="56"/>
    </row>
    <row r="69" spans="1:13" ht="29.25" customHeight="1" x14ac:dyDescent="0.2">
      <c r="A69" s="36"/>
      <c r="B69" s="30" t="s">
        <v>29</v>
      </c>
      <c r="C69" s="31" t="s">
        <v>125</v>
      </c>
      <c r="D69" s="62">
        <v>395823.82299999997</v>
      </c>
      <c r="E69" s="62">
        <v>394603.25427999999</v>
      </c>
      <c r="F69" s="62">
        <v>564057.31497056107</v>
      </c>
      <c r="H69" s="56"/>
      <c r="L69" s="56"/>
      <c r="M69" s="56"/>
    </row>
    <row r="70" spans="1:13" ht="29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448834.50400000002</v>
      </c>
      <c r="E70" s="62">
        <f>E71+E72</f>
        <v>460653.27535699995</v>
      </c>
      <c r="F70" s="62">
        <f>F71+F72</f>
        <v>678665.75308925845</v>
      </c>
      <c r="H70" s="56"/>
      <c r="L70" s="56"/>
      <c r="M70" s="56"/>
    </row>
    <row r="71" spans="1:13" ht="29.25" customHeight="1" x14ac:dyDescent="0.2">
      <c r="A71" s="36"/>
      <c r="B71" s="30" t="s">
        <v>28</v>
      </c>
      <c r="C71" s="31" t="s">
        <v>125</v>
      </c>
      <c r="D71" s="62">
        <v>230367.30900000001</v>
      </c>
      <c r="E71" s="62">
        <v>236480.72311699999</v>
      </c>
      <c r="F71" s="62">
        <v>342898.46331712609</v>
      </c>
      <c r="H71" s="56"/>
      <c r="L71" s="56"/>
      <c r="M71" s="56"/>
    </row>
    <row r="72" spans="1:13" ht="29.25" customHeight="1" x14ac:dyDescent="0.2">
      <c r="A72" s="36"/>
      <c r="B72" s="30" t="s">
        <v>29</v>
      </c>
      <c r="C72" s="31" t="s">
        <v>125</v>
      </c>
      <c r="D72" s="62">
        <v>218467.19500000001</v>
      </c>
      <c r="E72" s="62">
        <v>224172.55223999999</v>
      </c>
      <c r="F72" s="62">
        <v>335767.28977213235</v>
      </c>
      <c r="G72" s="97"/>
      <c r="H72" s="56"/>
      <c r="L72" s="56"/>
      <c r="M72" s="56"/>
    </row>
    <row r="73" spans="1:13" ht="29.2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62">
        <f t="shared" ref="E73:F73" si="2">E74+E77</f>
        <v>0</v>
      </c>
      <c r="F73" s="62">
        <f t="shared" si="2"/>
        <v>0</v>
      </c>
      <c r="L73" s="56"/>
      <c r="M73" s="56"/>
    </row>
    <row r="74" spans="1:13" ht="29.2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62">
        <f t="shared" ref="E74:F74" si="3">E75+E76</f>
        <v>0</v>
      </c>
      <c r="F74" s="62">
        <f t="shared" si="3"/>
        <v>0</v>
      </c>
      <c r="L74" s="56"/>
      <c r="M74" s="56"/>
    </row>
    <row r="75" spans="1:13" ht="29.25" customHeight="1" x14ac:dyDescent="0.2">
      <c r="A75" s="36"/>
      <c r="B75" s="30" t="s">
        <v>28</v>
      </c>
      <c r="C75" s="31" t="s">
        <v>125</v>
      </c>
      <c r="D75" s="62"/>
      <c r="E75" s="62"/>
      <c r="F75" s="62"/>
      <c r="L75" s="56"/>
      <c r="M75" s="56"/>
    </row>
    <row r="76" spans="1:13" ht="29.25" customHeight="1" x14ac:dyDescent="0.2">
      <c r="A76" s="36"/>
      <c r="B76" s="30" t="s">
        <v>29</v>
      </c>
      <c r="C76" s="31" t="s">
        <v>125</v>
      </c>
      <c r="D76" s="62"/>
      <c r="E76" s="62"/>
      <c r="F76" s="62"/>
      <c r="L76" s="56"/>
      <c r="M76" s="56"/>
    </row>
    <row r="77" spans="1:13" ht="29.25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62">
        <f t="shared" ref="E77:F77" si="4">E78+E79</f>
        <v>0</v>
      </c>
      <c r="F77" s="62">
        <f t="shared" si="4"/>
        <v>0</v>
      </c>
      <c r="L77" s="56"/>
      <c r="M77" s="56"/>
    </row>
    <row r="78" spans="1:13" ht="29.25" customHeight="1" x14ac:dyDescent="0.2">
      <c r="A78" s="36"/>
      <c r="B78" s="30" t="s">
        <v>28</v>
      </c>
      <c r="C78" s="31" t="s">
        <v>125</v>
      </c>
      <c r="D78" s="62"/>
      <c r="E78" s="62"/>
      <c r="F78" s="62"/>
      <c r="L78" s="56"/>
      <c r="M78" s="56"/>
    </row>
    <row r="79" spans="1:13" ht="29.25" customHeight="1" x14ac:dyDescent="0.2">
      <c r="A79" s="36"/>
      <c r="B79" s="30" t="s">
        <v>29</v>
      </c>
      <c r="C79" s="31" t="s">
        <v>125</v>
      </c>
      <c r="D79" s="62"/>
      <c r="E79" s="62"/>
      <c r="F79" s="62"/>
      <c r="L79" s="56"/>
      <c r="M79" s="56"/>
    </row>
    <row r="80" spans="1:13" ht="29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110563.14499999999</v>
      </c>
      <c r="E80" s="62">
        <f t="shared" ref="E80:F80" si="5">E81+E84</f>
        <v>102456.37699999999</v>
      </c>
      <c r="F80" s="62">
        <f t="shared" si="5"/>
        <v>14650.760491232639</v>
      </c>
      <c r="L80" s="56"/>
      <c r="M80" s="56"/>
    </row>
    <row r="81" spans="1:13" ht="29.25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35415.801999999996</v>
      </c>
      <c r="E81" s="62">
        <f t="shared" ref="E81:F81" si="6">E82+E83</f>
        <v>34068.983999999997</v>
      </c>
      <c r="F81" s="62">
        <f t="shared" si="6"/>
        <v>1471.3508296528305</v>
      </c>
      <c r="L81" s="56"/>
      <c r="M81" s="56"/>
    </row>
    <row r="82" spans="1:13" ht="29.25" customHeight="1" x14ac:dyDescent="0.2">
      <c r="A82" s="36"/>
      <c r="B82" s="30" t="s">
        <v>28</v>
      </c>
      <c r="C82" s="31" t="s">
        <v>125</v>
      </c>
      <c r="D82" s="62">
        <v>18685.089</v>
      </c>
      <c r="E82" s="62">
        <v>17597.827000000001</v>
      </c>
      <c r="F82" s="62">
        <v>775.08593078577769</v>
      </c>
      <c r="L82" s="56"/>
      <c r="M82" s="56"/>
    </row>
    <row r="83" spans="1:13" ht="29.25" customHeight="1" x14ac:dyDescent="0.2">
      <c r="A83" s="36"/>
      <c r="B83" s="30" t="s">
        <v>29</v>
      </c>
      <c r="C83" s="31" t="s">
        <v>125</v>
      </c>
      <c r="D83" s="62">
        <v>16730.713</v>
      </c>
      <c r="E83" s="62">
        <v>16471.156999999999</v>
      </c>
      <c r="F83" s="62">
        <v>696.26489886705281</v>
      </c>
      <c r="L83" s="56"/>
      <c r="M83" s="56"/>
    </row>
    <row r="84" spans="1:13" ht="29.2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75147.342999999993</v>
      </c>
      <c r="E84" s="62">
        <f t="shared" ref="E84:F84" si="7">E85+E86</f>
        <v>68387.392999999996</v>
      </c>
      <c r="F84" s="62">
        <f t="shared" si="7"/>
        <v>13179.409661579808</v>
      </c>
      <c r="L84" s="56"/>
      <c r="M84" s="56"/>
    </row>
    <row r="85" spans="1:13" ht="29.25" customHeight="1" x14ac:dyDescent="0.2">
      <c r="A85" s="36"/>
      <c r="B85" s="30" t="s">
        <v>28</v>
      </c>
      <c r="C85" s="31" t="s">
        <v>125</v>
      </c>
      <c r="D85" s="62">
        <v>41628.358999999997</v>
      </c>
      <c r="E85" s="62">
        <v>37756.252</v>
      </c>
      <c r="F85" s="62">
        <v>6834.6380671221441</v>
      </c>
      <c r="L85" s="56"/>
      <c r="M85" s="56"/>
    </row>
    <row r="86" spans="1:13" ht="29.25" customHeight="1" x14ac:dyDescent="0.2">
      <c r="A86" s="36"/>
      <c r="B86" s="30" t="s">
        <v>29</v>
      </c>
      <c r="C86" s="31" t="s">
        <v>125</v>
      </c>
      <c r="D86" s="62">
        <v>33518.983999999997</v>
      </c>
      <c r="E86" s="62">
        <v>30631.141</v>
      </c>
      <c r="F86" s="62">
        <v>6344.7715944576648</v>
      </c>
      <c r="L86" s="56"/>
      <c r="M86" s="56"/>
    </row>
    <row r="87" spans="1:13" ht="29.25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1259708.8859999999</v>
      </c>
      <c r="E87" s="62">
        <f>E88+E91</f>
        <v>1280295.2404380001</v>
      </c>
      <c r="F87" s="62">
        <f>F88+F91</f>
        <v>1241473.1722520296</v>
      </c>
      <c r="L87" s="56"/>
      <c r="M87" s="56"/>
    </row>
    <row r="88" spans="1:13" ht="29.2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527730.42500000005</v>
      </c>
      <c r="E88" s="62">
        <f>E89+E90</f>
        <v>563538.58449100005</v>
      </c>
      <c r="F88" s="62">
        <f>F89+F90</f>
        <v>482574.45918007346</v>
      </c>
      <c r="L88" s="56"/>
      <c r="M88" s="56"/>
    </row>
    <row r="89" spans="1:13" ht="29.25" customHeight="1" x14ac:dyDescent="0.2">
      <c r="A89" s="36"/>
      <c r="B89" s="30" t="s">
        <v>28</v>
      </c>
      <c r="C89" s="31" t="s">
        <v>125</v>
      </c>
      <c r="D89" s="62">
        <v>267161.75599999999</v>
      </c>
      <c r="E89" s="62">
        <v>285428.235307</v>
      </c>
      <c r="F89" s="62">
        <v>245056.5352860225</v>
      </c>
      <c r="L89" s="56"/>
      <c r="M89" s="56"/>
    </row>
    <row r="90" spans="1:13" ht="29.25" customHeight="1" x14ac:dyDescent="0.2">
      <c r="A90" s="36"/>
      <c r="B90" s="30" t="s">
        <v>29</v>
      </c>
      <c r="C90" s="31" t="s">
        <v>125</v>
      </c>
      <c r="D90" s="62">
        <v>260568.66899999999</v>
      </c>
      <c r="E90" s="62">
        <v>278110.34918399999</v>
      </c>
      <c r="F90" s="62">
        <v>237517.923894051</v>
      </c>
      <c r="G90" s="56"/>
      <c r="L90" s="56"/>
      <c r="M90" s="56"/>
    </row>
    <row r="91" spans="1:13" ht="29.25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731978.46100000001</v>
      </c>
      <c r="E91" s="62">
        <f>E92+E93</f>
        <v>716756.65594700002</v>
      </c>
      <c r="F91" s="62">
        <f>F92+F93</f>
        <v>758898.71307195607</v>
      </c>
      <c r="G91" s="56"/>
      <c r="L91" s="56"/>
      <c r="M91" s="56"/>
    </row>
    <row r="92" spans="1:13" ht="29.25" customHeight="1" x14ac:dyDescent="0.2">
      <c r="A92" s="36"/>
      <c r="B92" s="30" t="s">
        <v>28</v>
      </c>
      <c r="C92" s="31" t="s">
        <v>125</v>
      </c>
      <c r="D92" s="62">
        <v>399352.32199999999</v>
      </c>
      <c r="E92" s="62">
        <v>399729.81977000006</v>
      </c>
      <c r="F92" s="62">
        <v>422176.65584226343</v>
      </c>
      <c r="L92" s="56"/>
      <c r="M92" s="56"/>
    </row>
    <row r="93" spans="1:13" ht="29.25" customHeight="1" x14ac:dyDescent="0.2">
      <c r="A93" s="36"/>
      <c r="B93" s="30" t="s">
        <v>29</v>
      </c>
      <c r="C93" s="31" t="s">
        <v>125</v>
      </c>
      <c r="D93" s="62">
        <v>332626.13900000002</v>
      </c>
      <c r="E93" s="62">
        <v>317026.83617699996</v>
      </c>
      <c r="F93" s="62">
        <v>336722.0572296927</v>
      </c>
      <c r="G93" s="56"/>
      <c r="H93" s="56"/>
      <c r="L93" s="56"/>
      <c r="M93" s="56"/>
    </row>
    <row r="94" spans="1:13" ht="29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830334.33400000003</v>
      </c>
      <c r="E94" s="119">
        <f>E95+E98</f>
        <v>844364.67021350854</v>
      </c>
      <c r="F94" s="119">
        <f>F95+F98</f>
        <v>272367.88463817653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554001.13800000004</v>
      </c>
      <c r="E95" s="119">
        <f>E96+E97</f>
        <v>565145.15369546297</v>
      </c>
      <c r="F95" s="119">
        <f>F96+F97</f>
        <v>141087.11976755896</v>
      </c>
      <c r="L95" s="56"/>
      <c r="M95" s="56"/>
    </row>
    <row r="96" spans="1:13" ht="29.25" customHeight="1" x14ac:dyDescent="0.2">
      <c r="A96" s="36"/>
      <c r="B96" s="30" t="s">
        <v>28</v>
      </c>
      <c r="C96" s="31" t="s">
        <v>125</v>
      </c>
      <c r="D96" s="62">
        <v>275929.94799999997</v>
      </c>
      <c r="E96" s="119">
        <v>281973.18893518997</v>
      </c>
      <c r="F96" s="119">
        <v>74710.008790447886</v>
      </c>
      <c r="G96" s="97"/>
      <c r="L96" s="56"/>
      <c r="M96" s="56"/>
    </row>
    <row r="97" spans="1:12" ht="29.25" customHeight="1" x14ac:dyDescent="0.2">
      <c r="A97" s="36"/>
      <c r="B97" s="30" t="s">
        <v>29</v>
      </c>
      <c r="C97" s="31" t="s">
        <v>125</v>
      </c>
      <c r="D97" s="62">
        <v>278071.19</v>
      </c>
      <c r="E97" s="119">
        <v>283171.96476027305</v>
      </c>
      <c r="F97" s="119">
        <v>66377.110977111079</v>
      </c>
      <c r="G97" s="56"/>
    </row>
    <row r="98" spans="1:12" ht="29.25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276333.196</v>
      </c>
      <c r="E98" s="119">
        <f>E99+E100</f>
        <v>279219.51651804557</v>
      </c>
      <c r="F98" s="119">
        <f>F99+F100</f>
        <v>131280.76487061754</v>
      </c>
    </row>
    <row r="99" spans="1:12" ht="29.25" customHeight="1" x14ac:dyDescent="0.2">
      <c r="A99" s="36"/>
      <c r="B99" s="30" t="s">
        <v>28</v>
      </c>
      <c r="C99" s="31" t="s">
        <v>125</v>
      </c>
      <c r="D99" s="62">
        <v>145074.527</v>
      </c>
      <c r="E99" s="119">
        <v>148845.9947947519</v>
      </c>
      <c r="F99" s="119">
        <v>76782.282218682478</v>
      </c>
    </row>
    <row r="100" spans="1:12" ht="29.25" customHeight="1" x14ac:dyDescent="0.2">
      <c r="A100" s="36"/>
      <c r="B100" s="30" t="s">
        <v>29</v>
      </c>
      <c r="C100" s="31" t="s">
        <v>125</v>
      </c>
      <c r="D100" s="62">
        <v>131258.66899999999</v>
      </c>
      <c r="E100" s="119">
        <v>130373.52172329368</v>
      </c>
      <c r="F100" s="119">
        <v>54498.482651935068</v>
      </c>
      <c r="G100" s="154"/>
      <c r="H100" s="154"/>
      <c r="I100" s="154"/>
      <c r="J100" s="154"/>
      <c r="K100" s="154"/>
      <c r="L100" s="154"/>
    </row>
    <row r="101" spans="1:12" ht="29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</f>
        <v>5741189.6469999999</v>
      </c>
      <c r="E101" s="62">
        <f>E102+E105+E108</f>
        <v>5081235.3128880635</v>
      </c>
      <c r="F101" s="62">
        <f>F102+F105+F108</f>
        <v>5789731.8999999994</v>
      </c>
      <c r="G101" s="87"/>
      <c r="H101" s="78"/>
    </row>
    <row r="102" spans="1:12" ht="29.25" customHeight="1" x14ac:dyDescent="0.2">
      <c r="A102" s="36"/>
      <c r="B102" s="30" t="s">
        <v>163</v>
      </c>
      <c r="C102" s="31" t="s">
        <v>125</v>
      </c>
      <c r="D102" s="84">
        <f t="shared" ref="D102:F102" si="8">D103+D104</f>
        <v>3191612.9210000001</v>
      </c>
      <c r="E102" s="62">
        <f t="shared" si="8"/>
        <v>2804312.4484300781</v>
      </c>
      <c r="F102" s="62">
        <f t="shared" si="8"/>
        <v>3149749.5559827494</v>
      </c>
    </row>
    <row r="103" spans="1:12" ht="29.25" customHeight="1" x14ac:dyDescent="0.2">
      <c r="A103" s="36"/>
      <c r="B103" s="30" t="s">
        <v>28</v>
      </c>
      <c r="C103" s="31" t="s">
        <v>125</v>
      </c>
      <c r="D103" s="62">
        <v>1655145.6340000001</v>
      </c>
      <c r="E103" s="62">
        <v>1471804.3055481785</v>
      </c>
      <c r="F103" s="62">
        <v>1602900.1297416799</v>
      </c>
    </row>
    <row r="104" spans="1:12" ht="29.25" customHeight="1" x14ac:dyDescent="0.2">
      <c r="A104" s="36"/>
      <c r="B104" s="30" t="s">
        <v>29</v>
      </c>
      <c r="C104" s="31" t="s">
        <v>125</v>
      </c>
      <c r="D104" s="62">
        <v>1536467.2870000002</v>
      </c>
      <c r="E104" s="62">
        <v>1332508.1428818998</v>
      </c>
      <c r="F104" s="62">
        <v>1546849.4262410696</v>
      </c>
    </row>
    <row r="105" spans="1:12" ht="29.25" customHeight="1" x14ac:dyDescent="0.2">
      <c r="A105" s="36"/>
      <c r="B105" s="30" t="s">
        <v>60</v>
      </c>
      <c r="C105" s="31" t="s">
        <v>125</v>
      </c>
      <c r="D105" s="62">
        <f t="shared" ref="D105:F105" si="9">D106+D107</f>
        <v>1888851.8689999999</v>
      </c>
      <c r="E105" s="62">
        <f t="shared" si="9"/>
        <v>1650788.7651159056</v>
      </c>
      <c r="F105" s="62">
        <f t="shared" si="9"/>
        <v>1995910.1431412522</v>
      </c>
    </row>
    <row r="106" spans="1:12" ht="29.25" customHeight="1" x14ac:dyDescent="0.2">
      <c r="A106" s="36"/>
      <c r="B106" s="30" t="s">
        <v>28</v>
      </c>
      <c r="C106" s="31" t="s">
        <v>125</v>
      </c>
      <c r="D106" s="62">
        <v>935494.59400000004</v>
      </c>
      <c r="E106" s="62">
        <v>867799.78796609899</v>
      </c>
      <c r="F106" s="62">
        <v>1027355.8526555401</v>
      </c>
    </row>
    <row r="107" spans="1:12" ht="29.25" customHeight="1" x14ac:dyDescent="0.2">
      <c r="A107" s="36"/>
      <c r="B107" s="30" t="s">
        <v>29</v>
      </c>
      <c r="C107" s="31" t="s">
        <v>125</v>
      </c>
      <c r="D107" s="62">
        <v>953357.27499999991</v>
      </c>
      <c r="E107" s="62">
        <v>782988.97714980668</v>
      </c>
      <c r="F107" s="62">
        <v>968554.29048571212</v>
      </c>
    </row>
    <row r="108" spans="1:12" ht="29.25" customHeight="1" x14ac:dyDescent="0.2">
      <c r="A108" s="36"/>
      <c r="B108" s="30" t="s">
        <v>61</v>
      </c>
      <c r="C108" s="31" t="s">
        <v>125</v>
      </c>
      <c r="D108" s="62">
        <f t="shared" ref="D108:F108" si="10">D109+D110</f>
        <v>660724.85699999996</v>
      </c>
      <c r="E108" s="62">
        <f t="shared" si="10"/>
        <v>626134.0993420796</v>
      </c>
      <c r="F108" s="62">
        <f t="shared" si="10"/>
        <v>644072.20087599778</v>
      </c>
    </row>
    <row r="109" spans="1:12" ht="29.25" customHeight="1" x14ac:dyDescent="0.2">
      <c r="A109" s="36"/>
      <c r="B109" s="30" t="s">
        <v>28</v>
      </c>
      <c r="C109" s="31" t="s">
        <v>125</v>
      </c>
      <c r="D109" s="62">
        <v>299901.64099999995</v>
      </c>
      <c r="E109" s="62">
        <v>328484.63639402098</v>
      </c>
      <c r="F109" s="62">
        <v>339200.41760278004</v>
      </c>
    </row>
    <row r="110" spans="1:12" ht="29.25" customHeight="1" x14ac:dyDescent="0.2">
      <c r="A110" s="36"/>
      <c r="B110" s="30" t="s">
        <v>29</v>
      </c>
      <c r="C110" s="31" t="s">
        <v>125</v>
      </c>
      <c r="D110" s="62">
        <v>360823.21600000001</v>
      </c>
      <c r="E110" s="62">
        <v>297649.46294805867</v>
      </c>
      <c r="F110" s="62">
        <v>304871.78327321773</v>
      </c>
    </row>
    <row r="111" spans="1:12" ht="29.2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11">D112+D113</f>
        <v>1907515.65</v>
      </c>
      <c r="E111" s="62">
        <f t="shared" si="11"/>
        <v>1873834.587111936</v>
      </c>
      <c r="F111" s="62">
        <f t="shared" si="11"/>
        <v>1908358.2000000002</v>
      </c>
    </row>
    <row r="112" spans="1:12" ht="29.25" customHeight="1" x14ac:dyDescent="0.2">
      <c r="A112" s="36"/>
      <c r="B112" s="30" t="s">
        <v>64</v>
      </c>
      <c r="C112" s="31" t="s">
        <v>125</v>
      </c>
      <c r="D112" s="62">
        <v>929053.57</v>
      </c>
      <c r="E112" s="62">
        <v>922515.77009170165</v>
      </c>
      <c r="F112" s="62">
        <v>935115.60000000009</v>
      </c>
      <c r="J112" s="56"/>
    </row>
    <row r="113" spans="1:8" ht="29.25" customHeight="1" x14ac:dyDescent="0.2">
      <c r="A113" s="36"/>
      <c r="B113" s="30" t="s">
        <v>65</v>
      </c>
      <c r="C113" s="31" t="s">
        <v>125</v>
      </c>
      <c r="D113" s="62">
        <v>978462.08</v>
      </c>
      <c r="E113" s="62">
        <v>951318.81702023419</v>
      </c>
      <c r="F113" s="62">
        <v>973242.60000000009</v>
      </c>
      <c r="G113" s="78"/>
    </row>
    <row r="114" spans="1:8" ht="29.25" customHeight="1" x14ac:dyDescent="0.2">
      <c r="A114" s="27" t="s">
        <v>66</v>
      </c>
      <c r="B114" s="30" t="s">
        <v>67</v>
      </c>
      <c r="C114" s="31" t="s">
        <v>70</v>
      </c>
      <c r="D114" s="63">
        <f>D116+D117</f>
        <v>1191.0559999999998</v>
      </c>
      <c r="E114" s="82">
        <f t="shared" ref="E114:F114" si="12">E116+E117</f>
        <v>1211.424</v>
      </c>
      <c r="F114" s="63">
        <f t="shared" si="12"/>
        <v>1251.8479999999997</v>
      </c>
    </row>
    <row r="115" spans="1:8" ht="29.25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29.25" customHeight="1" x14ac:dyDescent="0.2">
      <c r="A116" s="27" t="s">
        <v>68</v>
      </c>
      <c r="B116" s="30" t="s">
        <v>69</v>
      </c>
      <c r="C116" s="31" t="s">
        <v>70</v>
      </c>
      <c r="D116" s="65">
        <f>2.849+1157.684</f>
        <v>1160.5329999999999</v>
      </c>
      <c r="E116" s="65">
        <f>2.84+1177.775</f>
        <v>1180.615</v>
      </c>
      <c r="F116" s="65">
        <f>2.84+1217.783</f>
        <v>1220.6229999999998</v>
      </c>
    </row>
    <row r="117" spans="1:8" ht="29.25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30.523</v>
      </c>
      <c r="E117" s="101">
        <f t="shared" ref="E117:F117" si="13">E118+E119+E120</f>
        <v>30.808999999999997</v>
      </c>
      <c r="F117" s="101">
        <f t="shared" si="13"/>
        <v>31.224999999999998</v>
      </c>
    </row>
    <row r="118" spans="1:8" ht="29.25" customHeight="1" x14ac:dyDescent="0.2">
      <c r="A118" s="36"/>
      <c r="B118" s="30" t="s">
        <v>163</v>
      </c>
      <c r="C118" s="31" t="s">
        <v>70</v>
      </c>
      <c r="D118" s="63">
        <v>29.991</v>
      </c>
      <c r="E118" s="63">
        <v>30.297999999999998</v>
      </c>
      <c r="F118" s="63">
        <v>30.716999999999999</v>
      </c>
    </row>
    <row r="119" spans="1:8" ht="29.25" customHeight="1" x14ac:dyDescent="0.2">
      <c r="A119" s="36"/>
      <c r="B119" s="30" t="s">
        <v>60</v>
      </c>
      <c r="C119" s="31" t="s">
        <v>70</v>
      </c>
      <c r="D119" s="63">
        <v>0.51200000000000001</v>
      </c>
      <c r="E119" s="63">
        <v>0.49099999999999999</v>
      </c>
      <c r="F119" s="63">
        <v>0.48799999999999999</v>
      </c>
    </row>
    <row r="120" spans="1:8" ht="29.25" customHeight="1" x14ac:dyDescent="0.2">
      <c r="A120" s="36"/>
      <c r="B120" s="30" t="s">
        <v>61</v>
      </c>
      <c r="C120" s="31" t="s">
        <v>70</v>
      </c>
      <c r="D120" s="63">
        <v>0.02</v>
      </c>
      <c r="E120" s="63">
        <v>0.02</v>
      </c>
      <c r="F120" s="63">
        <v>0.02</v>
      </c>
    </row>
    <row r="121" spans="1:8" ht="29.25" customHeight="1" x14ac:dyDescent="0.2">
      <c r="A121" s="27" t="s">
        <v>73</v>
      </c>
      <c r="B121" s="30" t="s">
        <v>74</v>
      </c>
      <c r="C121" s="31" t="s">
        <v>70</v>
      </c>
      <c r="D121" s="100">
        <v>4.5999999999999999E-2</v>
      </c>
      <c r="E121" s="65">
        <v>3.5999999999999997E-2</v>
      </c>
      <c r="F121" s="65">
        <v>3.5349999999999999E-2</v>
      </c>
    </row>
    <row r="122" spans="1:8" ht="29.25" customHeight="1" x14ac:dyDescent="0.2">
      <c r="A122" s="27" t="s">
        <v>75</v>
      </c>
      <c r="B122" s="15" t="s">
        <v>76</v>
      </c>
      <c r="C122" s="31" t="s">
        <v>79</v>
      </c>
      <c r="D122" s="84">
        <f>D124+D125+3578+24821</f>
        <v>1266446</v>
      </c>
      <c r="E122" s="84">
        <v>1241866</v>
      </c>
      <c r="F122" s="62">
        <v>1293187</v>
      </c>
      <c r="H122" s="56"/>
    </row>
    <row r="123" spans="1:8" ht="29.25" customHeight="1" x14ac:dyDescent="0.2">
      <c r="A123" s="36"/>
      <c r="B123" s="30" t="s">
        <v>23</v>
      </c>
      <c r="C123" s="37"/>
      <c r="D123" s="125"/>
      <c r="E123" s="125"/>
      <c r="F123" s="124"/>
    </row>
    <row r="124" spans="1:8" ht="29.25" customHeight="1" x14ac:dyDescent="0.2">
      <c r="A124" s="27" t="s">
        <v>77</v>
      </c>
      <c r="B124" s="15" t="s">
        <v>78</v>
      </c>
      <c r="C124" s="31" t="s">
        <v>79</v>
      </c>
      <c r="D124" s="62">
        <v>1153417</v>
      </c>
      <c r="E124" s="62">
        <v>1177775</v>
      </c>
      <c r="F124" s="62">
        <v>1203408</v>
      </c>
    </row>
    <row r="125" spans="1:8" ht="29.25" customHeight="1" x14ac:dyDescent="0.2">
      <c r="A125" s="27" t="s">
        <v>80</v>
      </c>
      <c r="B125" s="15" t="s">
        <v>81</v>
      </c>
      <c r="C125" s="31" t="s">
        <v>79</v>
      </c>
      <c r="D125" s="62">
        <f t="shared" ref="D125" si="14">D126+D127+D128</f>
        <v>84630</v>
      </c>
      <c r="E125" s="62">
        <f t="shared" ref="E125:F125" si="15">E126+E127+E128</f>
        <v>86023</v>
      </c>
      <c r="F125" s="62">
        <f t="shared" si="15"/>
        <v>86371</v>
      </c>
    </row>
    <row r="126" spans="1:8" ht="29.25" customHeight="1" x14ac:dyDescent="0.2">
      <c r="A126" s="36"/>
      <c r="B126" s="38" t="s">
        <v>163</v>
      </c>
      <c r="C126" s="18" t="s">
        <v>79</v>
      </c>
      <c r="D126" s="62">
        <v>82726</v>
      </c>
      <c r="E126" s="62">
        <v>84199</v>
      </c>
      <c r="F126" s="62">
        <v>84427</v>
      </c>
    </row>
    <row r="127" spans="1:8" ht="29.25" customHeight="1" x14ac:dyDescent="0.2">
      <c r="A127" s="36"/>
      <c r="B127" s="38" t="s">
        <v>60</v>
      </c>
      <c r="C127" s="18" t="s">
        <v>79</v>
      </c>
      <c r="D127" s="62">
        <v>1713</v>
      </c>
      <c r="E127" s="62">
        <v>1672</v>
      </c>
      <c r="F127" s="62">
        <v>1704</v>
      </c>
    </row>
    <row r="128" spans="1:8" ht="29.25" customHeight="1" x14ac:dyDescent="0.2">
      <c r="A128" s="36"/>
      <c r="B128" s="38" t="s">
        <v>61</v>
      </c>
      <c r="C128" s="18" t="s">
        <v>79</v>
      </c>
      <c r="D128" s="62">
        <v>191</v>
      </c>
      <c r="E128" s="62">
        <v>152</v>
      </c>
      <c r="F128" s="62">
        <v>240</v>
      </c>
    </row>
    <row r="129" spans="1:8" ht="29.2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29.25" customHeight="1" x14ac:dyDescent="0.2">
      <c r="A130" s="27" t="s">
        <v>84</v>
      </c>
      <c r="B130" s="30" t="s">
        <v>85</v>
      </c>
      <c r="C130" s="31" t="s">
        <v>86</v>
      </c>
      <c r="D130" s="62">
        <v>4162035.93</v>
      </c>
      <c r="E130" s="62">
        <v>4806582.16</v>
      </c>
      <c r="F130" s="62">
        <v>6986667</v>
      </c>
    </row>
    <row r="131" spans="1:8" ht="29.25" customHeight="1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954.3</v>
      </c>
      <c r="E132" s="62">
        <v>1096.2</v>
      </c>
      <c r="F132" s="62">
        <v>1096.2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84.1</v>
      </c>
      <c r="E133" s="103">
        <v>83.8</v>
      </c>
      <c r="F133" s="103">
        <v>87.2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566783.69999999995</v>
      </c>
      <c r="E135" s="62">
        <v>564315.66</v>
      </c>
      <c r="F135" s="62">
        <v>909550.32299999997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674857.04</v>
      </c>
      <c r="E136" s="62">
        <v>764688.47</v>
      </c>
      <c r="F136" s="62">
        <v>858824.69200000004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328393.90000000002</v>
      </c>
      <c r="E137" s="62">
        <v>357122.58</v>
      </c>
      <c r="F137" s="62">
        <v>411821.125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7.8902226103559847E-2</v>
      </c>
      <c r="E139" s="92">
        <f>E137/E130*100%</f>
        <v>7.4298652995458209E-2</v>
      </c>
      <c r="F139" s="92">
        <f>F137/F130*100%</f>
        <v>5.8943860498861619E-2</v>
      </c>
    </row>
    <row r="140" spans="1:8" ht="210.75" customHeight="1" thickBot="1" x14ac:dyDescent="0.3">
      <c r="A140" s="35" t="s">
        <v>108</v>
      </c>
      <c r="B140" s="32" t="s">
        <v>109</v>
      </c>
      <c r="C140" s="21"/>
      <c r="D140" s="150" t="s">
        <v>198</v>
      </c>
      <c r="E140" s="150" t="s">
        <v>199</v>
      </c>
      <c r="F140" s="171" t="s">
        <v>199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145"/>
      <c r="E142" s="68"/>
      <c r="F142" s="68"/>
      <c r="G142" s="23"/>
    </row>
    <row r="143" spans="1:8" x14ac:dyDescent="0.2">
      <c r="A143" s="163"/>
      <c r="B143" s="163"/>
      <c r="C143" s="163"/>
      <c r="D143" s="163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4" t="s">
        <v>112</v>
      </c>
      <c r="B154" s="164"/>
      <c r="C154" s="164"/>
      <c r="D154" s="164"/>
      <c r="E154" s="164"/>
      <c r="F154" s="1"/>
    </row>
    <row r="155" spans="1:9" ht="51.75" customHeight="1" thickBot="1" x14ac:dyDescent="0.25">
      <c r="A155" s="165" t="s">
        <v>16</v>
      </c>
      <c r="B155" s="165" t="s">
        <v>17</v>
      </c>
      <c r="C155" s="165" t="s">
        <v>18</v>
      </c>
      <c r="D155" s="157" t="s">
        <v>19</v>
      </c>
      <c r="E155" s="158"/>
      <c r="F155" s="157" t="s">
        <v>195</v>
      </c>
      <c r="G155" s="158"/>
      <c r="H155" s="159" t="s">
        <v>20</v>
      </c>
      <c r="I155" s="160"/>
    </row>
    <row r="156" spans="1:9" ht="32.25" customHeight="1" thickBot="1" x14ac:dyDescent="0.25">
      <c r="A156" s="166"/>
      <c r="B156" s="166"/>
      <c r="C156" s="166"/>
      <c r="D156" s="146" t="s">
        <v>187</v>
      </c>
      <c r="E156" s="69" t="s">
        <v>186</v>
      </c>
      <c r="F156" s="58" t="s">
        <v>113</v>
      </c>
      <c r="G156" s="58" t="s">
        <v>197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85"/>
      <c r="E157" s="71"/>
      <c r="F157" s="71"/>
      <c r="G157" s="70"/>
      <c r="H157" s="25"/>
      <c r="I157" s="139"/>
    </row>
    <row r="158" spans="1:9" ht="21" customHeight="1" x14ac:dyDescent="0.2">
      <c r="A158" s="14" t="s">
        <v>75</v>
      </c>
      <c r="B158" s="15" t="s">
        <v>115</v>
      </c>
      <c r="C158" s="17"/>
      <c r="D158" s="85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595.29</v>
      </c>
      <c r="E159" s="28">
        <v>595.16999999999996</v>
      </c>
      <c r="F159" s="28">
        <v>595.16999999999996</v>
      </c>
      <c r="G159" s="28">
        <v>973.14</v>
      </c>
      <c r="H159" s="28">
        <v>973.14</v>
      </c>
      <c r="I159" s="155">
        <f>1465.99*1.2</f>
        <v>1759.1879999999999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249.47</v>
      </c>
      <c r="E160" s="27">
        <v>235.92</v>
      </c>
      <c r="F160" s="27">
        <v>227.09</v>
      </c>
      <c r="G160" s="27">
        <v>227.09</v>
      </c>
      <c r="H160" s="27">
        <v>227.09</v>
      </c>
      <c r="I160" s="155">
        <v>269.35000000000002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0"/>
      <c r="F161" s="70"/>
      <c r="G161" s="70"/>
      <c r="H161" s="70"/>
      <c r="I161" s="66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439.05</v>
      </c>
      <c r="E162" s="72">
        <v>368.88</v>
      </c>
      <c r="F162" s="72">
        <v>368.88</v>
      </c>
      <c r="G162" s="72">
        <v>430.07</v>
      </c>
      <c r="H162" s="72">
        <v>430.07</v>
      </c>
      <c r="I162" s="156">
        <v>430.05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378.73</v>
      </c>
      <c r="E163" s="72">
        <v>309.16000000000003</v>
      </c>
      <c r="F163" s="72">
        <v>309.16000000000003</v>
      </c>
      <c r="G163" s="72">
        <v>423.73</v>
      </c>
      <c r="H163" s="72">
        <v>423.73</v>
      </c>
      <c r="I163" s="156">
        <v>337.05</v>
      </c>
    </row>
    <row r="164" spans="1:9" ht="23.25" customHeight="1" thickBot="1" x14ac:dyDescent="0.25">
      <c r="A164" s="22"/>
      <c r="B164" s="20" t="s">
        <v>61</v>
      </c>
      <c r="C164" s="152" t="s">
        <v>165</v>
      </c>
      <c r="D164" s="105">
        <v>335.94</v>
      </c>
      <c r="E164" s="105">
        <v>265.48</v>
      </c>
      <c r="F164" s="105">
        <v>265.48</v>
      </c>
      <c r="G164" s="105">
        <v>337.77</v>
      </c>
      <c r="H164" s="105">
        <v>337.77</v>
      </c>
      <c r="I164" s="149">
        <v>402.66</v>
      </c>
    </row>
    <row r="165" spans="1:9" x14ac:dyDescent="0.2">
      <c r="A165" s="161"/>
      <c r="B165" s="161"/>
      <c r="C165" s="161"/>
      <c r="D165" s="161"/>
      <c r="E165" s="161"/>
      <c r="F165" s="161"/>
    </row>
    <row r="166" spans="1:9" x14ac:dyDescent="0.2">
      <c r="A166" s="23" t="s">
        <v>110</v>
      </c>
      <c r="B166" s="23"/>
      <c r="C166" s="23"/>
      <c r="D166" s="145"/>
      <c r="E166" s="68"/>
      <c r="F166" s="68"/>
    </row>
    <row r="167" spans="1:9" x14ac:dyDescent="0.2">
      <c r="A167" s="5"/>
    </row>
  </sheetData>
  <mergeCells count="28"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A6:E6"/>
    <mergeCell ref="A1:E1"/>
    <mergeCell ref="A2:E2"/>
    <mergeCell ref="A3:E3"/>
    <mergeCell ref="A4:E4"/>
    <mergeCell ref="A5:E5"/>
  </mergeCells>
  <hyperlinks>
    <hyperlink ref="C32" r:id="rId1"/>
    <hyperlink ref="H47" location="sub_10000" display="sub_10000"/>
    <hyperlink ref="H150" location="sub_10000" display="sub_10000"/>
    <hyperlink ref="F140" r:id="rId2"/>
    <hyperlink ref="E140" r:id="rId3"/>
    <hyperlink ref="D140" r:id="rId4"/>
  </hyperlinks>
  <pageMargins left="0.70866141732283472" right="0.70866141732283472" top="0.74803149606299213" bottom="0.74803149606299213" header="0.31496062992125984" footer="0.31496062992125984"/>
  <pageSetup paperSize="9" scale="75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34" zoomScale="87" zoomScaleNormal="87" workbookViewId="0">
      <selection activeCell="G51" sqref="G51:G60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20.5703125" style="140" customWidth="1"/>
    <col min="5" max="6" width="20.5703125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7" t="s">
        <v>120</v>
      </c>
      <c r="B1" s="167"/>
      <c r="C1" s="167"/>
      <c r="D1" s="167"/>
      <c r="E1" s="167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189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1" t="s">
        <v>152</v>
      </c>
      <c r="B5" s="161"/>
      <c r="C5" s="161"/>
      <c r="D5" s="161"/>
      <c r="E5" s="161"/>
      <c r="F5" s="1"/>
    </row>
    <row r="6" spans="1:6" x14ac:dyDescent="0.2">
      <c r="A6" s="161" t="s">
        <v>123</v>
      </c>
      <c r="B6" s="161"/>
      <c r="C6" s="161"/>
      <c r="D6" s="161"/>
      <c r="E6" s="161"/>
      <c r="F6" s="1"/>
    </row>
    <row r="7" spans="1:6" ht="22.5" customHeight="1" x14ac:dyDescent="0.2">
      <c r="A7" s="161" t="s">
        <v>153</v>
      </c>
      <c r="B7" s="161"/>
      <c r="C7" s="161"/>
      <c r="D7" s="161"/>
      <c r="E7" s="161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141"/>
    </row>
    <row r="12" spans="1:6" ht="15" x14ac:dyDescent="0.25">
      <c r="A12" s="8"/>
      <c r="C12" s="8"/>
      <c r="D12" s="142"/>
    </row>
    <row r="13" spans="1:6" ht="15" x14ac:dyDescent="0.25">
      <c r="A13" s="6"/>
      <c r="C13" s="6"/>
      <c r="D13" s="141"/>
    </row>
    <row r="14" spans="1:6" ht="15" x14ac:dyDescent="0.25">
      <c r="A14" s="6"/>
      <c r="C14" s="6"/>
      <c r="D14" s="141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1" t="s">
        <v>4</v>
      </c>
      <c r="B18" s="161"/>
      <c r="C18" s="2" t="s">
        <v>154</v>
      </c>
    </row>
    <row r="19" spans="1:3" x14ac:dyDescent="0.2">
      <c r="A19" s="5"/>
    </row>
    <row r="20" spans="1:3" x14ac:dyDescent="0.2">
      <c r="A20" s="161" t="s">
        <v>5</v>
      </c>
      <c r="B20" s="161"/>
      <c r="C20" s="3" t="s">
        <v>150</v>
      </c>
    </row>
    <row r="21" spans="1:3" x14ac:dyDescent="0.2">
      <c r="A21" s="5"/>
    </row>
    <row r="22" spans="1:3" x14ac:dyDescent="0.2">
      <c r="A22" s="161" t="s">
        <v>6</v>
      </c>
      <c r="B22" s="161"/>
      <c r="C22" s="2" t="s">
        <v>130</v>
      </c>
    </row>
    <row r="23" spans="1:3" x14ac:dyDescent="0.2">
      <c r="A23" s="5"/>
    </row>
    <row r="24" spans="1:3" x14ac:dyDescent="0.2">
      <c r="A24" s="161" t="s">
        <v>7</v>
      </c>
      <c r="B24" s="161"/>
      <c r="C24" s="2" t="s">
        <v>130</v>
      </c>
    </row>
    <row r="25" spans="1:3" x14ac:dyDescent="0.2">
      <c r="A25" s="5"/>
    </row>
    <row r="26" spans="1:3" x14ac:dyDescent="0.2">
      <c r="A26" s="161" t="s">
        <v>8</v>
      </c>
      <c r="B26" s="161"/>
      <c r="C26" s="4">
        <v>2466132221</v>
      </c>
    </row>
    <row r="27" spans="1:3" x14ac:dyDescent="0.2">
      <c r="A27" s="5"/>
    </row>
    <row r="28" spans="1:3" x14ac:dyDescent="0.2">
      <c r="A28" s="161" t="s">
        <v>9</v>
      </c>
      <c r="B28" s="161"/>
      <c r="C28" s="3">
        <v>246601001</v>
      </c>
    </row>
    <row r="29" spans="1:3" x14ac:dyDescent="0.2">
      <c r="A29" s="5"/>
    </row>
    <row r="30" spans="1:3" x14ac:dyDescent="0.2">
      <c r="A30" s="161" t="s">
        <v>10</v>
      </c>
      <c r="B30" s="161"/>
      <c r="C30" s="2" t="s">
        <v>129</v>
      </c>
    </row>
    <row r="31" spans="1:3" x14ac:dyDescent="0.2">
      <c r="A31" s="5"/>
    </row>
    <row r="32" spans="1:3" ht="15" x14ac:dyDescent="0.25">
      <c r="A32" s="161" t="s">
        <v>11</v>
      </c>
      <c r="B32" s="161"/>
      <c r="C32" s="10" t="s">
        <v>136</v>
      </c>
    </row>
    <row r="33" spans="1:8" x14ac:dyDescent="0.2">
      <c r="A33" s="5"/>
    </row>
    <row r="34" spans="1:8" x14ac:dyDescent="0.2">
      <c r="A34" s="161" t="s">
        <v>12</v>
      </c>
      <c r="B34" s="161"/>
      <c r="C34" s="2" t="s">
        <v>131</v>
      </c>
    </row>
    <row r="35" spans="1:8" x14ac:dyDescent="0.2">
      <c r="A35" s="5"/>
    </row>
    <row r="36" spans="1:8" x14ac:dyDescent="0.2">
      <c r="A36" s="161" t="s">
        <v>13</v>
      </c>
      <c r="B36" s="161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  <c r="E44" s="129"/>
    </row>
    <row r="45" spans="1:8" x14ac:dyDescent="0.2">
      <c r="A45" s="5"/>
      <c r="E45" s="129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D47" s="143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34" t="s">
        <v>18</v>
      </c>
      <c r="D48" s="112" t="s">
        <v>190</v>
      </c>
      <c r="E48" s="132" t="s">
        <v>185</v>
      </c>
      <c r="F48" s="112" t="s">
        <v>188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4">
        <f>D51+D101+D111</f>
        <v>11336778.912999999</v>
      </c>
      <c r="E49" s="96">
        <f>E51+E101+E111</f>
        <v>10826372.869999999</v>
      </c>
      <c r="F49" s="96">
        <f>F51+F101+F111</f>
        <v>10762000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144"/>
      <c r="E50" s="6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D52+D55+D94</f>
        <v>3730022.173</v>
      </c>
      <c r="E51" s="59">
        <f>E52+E55+E94</f>
        <v>3765059.8</v>
      </c>
      <c r="F51" s="59">
        <f>F52+F55+F94</f>
        <v>3870000.0000000005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 t="shared" ref="D52:E52" si="0">D60+D67+D88+D81</f>
        <v>1969226.2860000001</v>
      </c>
      <c r="E52" s="59">
        <f t="shared" si="0"/>
        <v>2062654.547210681</v>
      </c>
      <c r="F52" s="59">
        <f t="shared" ref="F52:F57" si="1">F60+F67+F88+F81</f>
        <v>2041922.427274242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 t="shared" ref="D53" si="2">D61+D68+D89+D82</f>
        <v>990362.10499999998</v>
      </c>
      <c r="E53" s="59">
        <f t="shared" ref="E53" si="3">E61+E68+E89+E82</f>
        <v>1030372.6792430602</v>
      </c>
      <c r="F53" s="59">
        <f t="shared" si="1"/>
        <v>1028572.9830516063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4">D62+D69+D90+D83</f>
        <v>978864.1810000001</v>
      </c>
      <c r="E54" s="59">
        <f t="shared" ref="E54" si="5">E62+E69+E90+E83</f>
        <v>1032281.867967621</v>
      </c>
      <c r="F54" s="59">
        <f t="shared" si="1"/>
        <v>1013349.4442226358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 t="shared" ref="D55" si="6">D63+D70+D91+D84</f>
        <v>1511607.9669999999</v>
      </c>
      <c r="E55" s="59">
        <f t="shared" ref="E55" si="7">E63+E70+E91+E84</f>
        <v>1456439.8112725767</v>
      </c>
      <c r="F55" s="59">
        <f t="shared" si="1"/>
        <v>1566295.2068511012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 t="shared" ref="D56" si="8">D64+D71+D92+D85</f>
        <v>804925.85700000008</v>
      </c>
      <c r="E56" s="59">
        <f t="shared" ref="E56" si="9">E64+E71+E92+E85</f>
        <v>812775.30869594065</v>
      </c>
      <c r="F56" s="59">
        <f t="shared" si="1"/>
        <v>843826.45376075478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 t="shared" ref="D57" si="10">D65+D72+D93+D86</f>
        <v>706682.11</v>
      </c>
      <c r="E57" s="59">
        <f t="shared" ref="E57" si="11">E65+E72+E93+E86</f>
        <v>643664.50257663615</v>
      </c>
      <c r="F57" s="59">
        <f t="shared" si="1"/>
        <v>722468.75309034646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6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359383.76800000004</v>
      </c>
      <c r="E59" s="59">
        <f>E60+E63</f>
        <v>380220.15081275697</v>
      </c>
      <c r="F59" s="59">
        <f>F60+F63</f>
        <v>371068.77108204283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230687.272</v>
      </c>
      <c r="E60" s="59">
        <f>E61+E62</f>
        <v>247159.91079219297</v>
      </c>
      <c r="F60" s="59">
        <f>F61+F62</f>
        <v>238734.97142702783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62">
        <v>116204</v>
      </c>
      <c r="E61" s="62">
        <v>123616.68341608752</v>
      </c>
      <c r="F61" s="62">
        <v>120484.05606122673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62">
        <v>114483.272</v>
      </c>
      <c r="E62" s="62">
        <v>123543.22737610544</v>
      </c>
      <c r="F62" s="62">
        <v>118250.91536580109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128696.49600000001</v>
      </c>
      <c r="E63" s="62">
        <f>E64+E65</f>
        <v>133060.24002056397</v>
      </c>
      <c r="F63" s="62">
        <f>F64+F65</f>
        <v>132333.79965501497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62">
        <v>68014.099000000002</v>
      </c>
      <c r="E64" s="62">
        <v>76356.359441578083</v>
      </c>
      <c r="F64" s="62">
        <v>69282.87310581049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62">
        <v>60682.397000000004</v>
      </c>
      <c r="E65" s="62">
        <v>56703.880578985896</v>
      </c>
      <c r="F65" s="62">
        <v>63050.926549204487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1879575.449</v>
      </c>
      <c r="E66" s="62">
        <f>E67+E70</f>
        <v>1901909.0088812774</v>
      </c>
      <c r="F66" s="62">
        <f>F67+F70</f>
        <v>1945498.8508423851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1194401.7989999999</v>
      </c>
      <c r="E67" s="62">
        <f>E68+E69</f>
        <v>1240939.7599593236</v>
      </c>
      <c r="F67" s="62">
        <f>F68+F69</f>
        <v>1234979.7032506852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62">
        <v>602384.06199999992</v>
      </c>
      <c r="E68" s="62">
        <v>620834.79818376782</v>
      </c>
      <c r="F68" s="62">
        <v>623665.33391406911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62">
        <v>592017.73699999996</v>
      </c>
      <c r="E69" s="62">
        <v>620104.96177555574</v>
      </c>
      <c r="F69" s="62">
        <v>611314.36933661625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685173.65</v>
      </c>
      <c r="E70" s="62">
        <f>E71+E72</f>
        <v>660969.24892195372</v>
      </c>
      <c r="F70" s="62">
        <f>F71+F72</f>
        <v>710519.14759169985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359544.78</v>
      </c>
      <c r="E71" s="62">
        <v>359262.42133262806</v>
      </c>
      <c r="F71" s="62">
        <v>375827.06762745953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325628.87</v>
      </c>
      <c r="E72" s="62">
        <v>301706.82758932567</v>
      </c>
      <c r="F72" s="62">
        <v>334692.07996424037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62">
        <f t="shared" ref="E73" si="12">E74+E77</f>
        <v>0</v>
      </c>
      <c r="F73" s="62">
        <f t="shared" ref="F73" si="13">F74+F77</f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62">
        <f t="shared" ref="E74" si="14">E75+E76</f>
        <v>0</v>
      </c>
      <c r="F74" s="62">
        <f t="shared" ref="F74" si="15">F75+F76</f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62"/>
      <c r="E75" s="62"/>
      <c r="F75" s="62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62"/>
      <c r="E76" s="62"/>
      <c r="F76" s="62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62">
        <f t="shared" ref="E77" si="16">E78+E79</f>
        <v>0</v>
      </c>
      <c r="F77" s="62">
        <f t="shared" ref="F77" si="17">F78+F79</f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62"/>
      <c r="E78" s="62"/>
      <c r="F78" s="62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62"/>
      <c r="E79" s="62"/>
      <c r="F79" s="62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10332.147000000001</v>
      </c>
      <c r="E80" s="62">
        <f t="shared" ref="E80" si="18">E81+E84</f>
        <v>14087.700417111828</v>
      </c>
      <c r="F80" s="62">
        <f t="shared" ref="F80" si="19">F81+F84</f>
        <v>10356.33832922566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1716.3789999999999</v>
      </c>
      <c r="E81" s="62">
        <f t="shared" ref="E81" si="20">E82+E83</f>
        <v>1893.2327586349015</v>
      </c>
      <c r="F81" s="62">
        <f t="shared" ref="F81" si="21">F82+F83</f>
        <v>1714.8695630072525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62">
        <v>881.29499999999996</v>
      </c>
      <c r="E82" s="62">
        <v>979.11721126555233</v>
      </c>
      <c r="F82" s="62">
        <v>906.26122987065582</v>
      </c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62">
        <v>835.08399999999995</v>
      </c>
      <c r="E83" s="62">
        <v>914.1155473693492</v>
      </c>
      <c r="F83" s="62">
        <v>808.6083331365968</v>
      </c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8615.768</v>
      </c>
      <c r="E84" s="62">
        <f t="shared" ref="E84" si="22">E85+E86</f>
        <v>12194.467658476926</v>
      </c>
      <c r="F84" s="62">
        <f t="shared" ref="F84" si="23">F85+F86</f>
        <v>8641.4687662184078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62">
        <v>5537.4519999999993</v>
      </c>
      <c r="E85" s="62">
        <v>6553.444851176745</v>
      </c>
      <c r="F85" s="62">
        <v>5806.5740472998414</v>
      </c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62">
        <v>3078.3159999999998</v>
      </c>
      <c r="E86" s="62">
        <v>5641.0228073001817</v>
      </c>
      <c r="F86" s="62">
        <v>2834.8947189185674</v>
      </c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1231542.8890000002</v>
      </c>
      <c r="E87" s="62">
        <f>E88+E91</f>
        <v>1222877.4983721117</v>
      </c>
      <c r="F87" s="62">
        <f>F88+F91</f>
        <v>1281293.6738716895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542420.83600000013</v>
      </c>
      <c r="E88" s="62">
        <f>E89+E90</f>
        <v>572661.64370052959</v>
      </c>
      <c r="F88" s="62">
        <f>F89+F90</f>
        <v>566492.88303352171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62">
        <v>270892.74800000002</v>
      </c>
      <c r="E89" s="62">
        <v>284942.08043193922</v>
      </c>
      <c r="F89" s="62">
        <v>283517.33184643986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62">
        <v>271528.08800000005</v>
      </c>
      <c r="E90" s="62">
        <v>287719.56326859037</v>
      </c>
      <c r="F90" s="62">
        <v>282975.55118708179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689122.05300000007</v>
      </c>
      <c r="E91" s="62">
        <f>E92+E93</f>
        <v>650215.85467158211</v>
      </c>
      <c r="F91" s="62">
        <f>F92+F93</f>
        <v>714800.79083816789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62">
        <v>371829.52600000001</v>
      </c>
      <c r="E92" s="62">
        <v>370603.0830705578</v>
      </c>
      <c r="F92" s="62">
        <v>392909.9389801849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62">
        <v>317292.527</v>
      </c>
      <c r="E93" s="62">
        <v>279612.77160102437</v>
      </c>
      <c r="F93" s="62">
        <v>321890.85185798298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249187.91999999998</v>
      </c>
      <c r="E94" s="119">
        <f>E95+E98</f>
        <v>245965.44151674228</v>
      </c>
      <c r="F94" s="119">
        <f>F95+F98</f>
        <v>261782.36587465674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149105.073</v>
      </c>
      <c r="E95" s="119">
        <f>E96+E97</f>
        <v>134861.27278931902</v>
      </c>
      <c r="F95" s="119">
        <f>F96+F97</f>
        <v>155629.59272657571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72365.337999999989</v>
      </c>
      <c r="E96" s="119">
        <v>72210.630756939878</v>
      </c>
      <c r="F96" s="119">
        <v>74827.996947885797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76739.735000000015</v>
      </c>
      <c r="E97" s="119">
        <v>62650.642032379132</v>
      </c>
      <c r="F97" s="119">
        <v>80801.595778689909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100082.84699999998</v>
      </c>
      <c r="E98" s="119">
        <f>E99+E100</f>
        <v>111104.16872742327</v>
      </c>
      <c r="F98" s="119">
        <f>F99+F100</f>
        <v>106152.77314808103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52633.388999999996</v>
      </c>
      <c r="E99" s="119">
        <v>55335.981304059373</v>
      </c>
      <c r="F99" s="119">
        <v>58722.566239753098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47449.457999999991</v>
      </c>
      <c r="E100" s="119">
        <v>55768.187423363888</v>
      </c>
      <c r="F100" s="119">
        <v>47430.206908327935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</f>
        <v>5721440.574</v>
      </c>
      <c r="E101" s="62">
        <f>E102+E105+E108</f>
        <v>5143163.2176014753</v>
      </c>
      <c r="F101" s="62">
        <f>F102+F105+F108</f>
        <v>5059999.9999999991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4">
        <f t="shared" ref="D102:F102" si="24">D103+D104</f>
        <v>3163874.807</v>
      </c>
      <c r="E102" s="62">
        <f t="shared" ref="E102" si="25">E103+E104</f>
        <v>2804808.2530897828</v>
      </c>
      <c r="F102" s="62">
        <f t="shared" si="24"/>
        <v>3051358.0737850629</v>
      </c>
    </row>
    <row r="103" spans="1:10" ht="23.25" customHeight="1" x14ac:dyDescent="0.2">
      <c r="A103" s="36"/>
      <c r="B103" s="30" t="s">
        <v>28</v>
      </c>
      <c r="C103" s="31" t="s">
        <v>125</v>
      </c>
      <c r="D103" s="62">
        <v>1636021.932</v>
      </c>
      <c r="E103" s="62">
        <v>1465796.2287861768</v>
      </c>
      <c r="F103" s="62">
        <v>1604640.7535657154</v>
      </c>
    </row>
    <row r="104" spans="1:10" ht="21.75" customHeight="1" x14ac:dyDescent="0.2">
      <c r="A104" s="36"/>
      <c r="B104" s="30" t="s">
        <v>29</v>
      </c>
      <c r="C104" s="31" t="s">
        <v>125</v>
      </c>
      <c r="D104" s="62">
        <v>1527852.875</v>
      </c>
      <c r="E104" s="62">
        <v>1339012.024303606</v>
      </c>
      <c r="F104" s="62">
        <v>1446717.3202193473</v>
      </c>
    </row>
    <row r="105" spans="1:10" ht="23.25" customHeight="1" x14ac:dyDescent="0.2">
      <c r="A105" s="36"/>
      <c r="B105" s="30" t="s">
        <v>60</v>
      </c>
      <c r="C105" s="31" t="s">
        <v>125</v>
      </c>
      <c r="D105" s="62">
        <f t="shared" ref="D105:F105" si="26">D106+D107</f>
        <v>1766311.3359999999</v>
      </c>
      <c r="E105" s="62">
        <f t="shared" ref="E105" si="27">E106+E107</f>
        <v>1586092.4731814303</v>
      </c>
      <c r="F105" s="62">
        <f t="shared" si="26"/>
        <v>1570831.2161584499</v>
      </c>
    </row>
    <row r="106" spans="1:10" ht="24.75" customHeight="1" x14ac:dyDescent="0.2">
      <c r="A106" s="36"/>
      <c r="B106" s="30" t="s">
        <v>28</v>
      </c>
      <c r="C106" s="31" t="s">
        <v>125</v>
      </c>
      <c r="D106" s="62">
        <v>935515.22100000002</v>
      </c>
      <c r="E106" s="62">
        <v>823762.75321195729</v>
      </c>
      <c r="F106" s="62">
        <v>828994.69393216283</v>
      </c>
    </row>
    <row r="107" spans="1:10" ht="22.5" customHeight="1" x14ac:dyDescent="0.2">
      <c r="A107" s="36"/>
      <c r="B107" s="30" t="s">
        <v>29</v>
      </c>
      <c r="C107" s="31" t="s">
        <v>125</v>
      </c>
      <c r="D107" s="62">
        <v>830796.11499999987</v>
      </c>
      <c r="E107" s="62">
        <v>762329.71996947285</v>
      </c>
      <c r="F107" s="62">
        <v>741836.52222628705</v>
      </c>
    </row>
    <row r="108" spans="1:10" ht="25.5" customHeight="1" x14ac:dyDescent="0.2">
      <c r="A108" s="36"/>
      <c r="B108" s="30" t="s">
        <v>61</v>
      </c>
      <c r="C108" s="31" t="s">
        <v>125</v>
      </c>
      <c r="D108" s="62">
        <f t="shared" ref="D108:F108" si="28">D109+D110</f>
        <v>791254.43099999987</v>
      </c>
      <c r="E108" s="62">
        <f t="shared" ref="E108" si="29">E109+E110</f>
        <v>752262.49133026262</v>
      </c>
      <c r="F108" s="62">
        <f t="shared" si="28"/>
        <v>437810.71005648695</v>
      </c>
    </row>
    <row r="109" spans="1:10" ht="26.25" customHeight="1" x14ac:dyDescent="0.2">
      <c r="A109" s="36"/>
      <c r="B109" s="30" t="s">
        <v>28</v>
      </c>
      <c r="C109" s="31" t="s">
        <v>125</v>
      </c>
      <c r="D109" s="62">
        <v>424180.89799999999</v>
      </c>
      <c r="E109" s="62">
        <v>393889.96310891397</v>
      </c>
      <c r="F109" s="62">
        <v>230674.55250212137</v>
      </c>
    </row>
    <row r="110" spans="1:10" ht="24" customHeight="1" x14ac:dyDescent="0.2">
      <c r="A110" s="36"/>
      <c r="B110" s="30" t="s">
        <v>29</v>
      </c>
      <c r="C110" s="31" t="s">
        <v>125</v>
      </c>
      <c r="D110" s="62">
        <v>367073.53299999994</v>
      </c>
      <c r="E110" s="62">
        <v>358372.52822134865</v>
      </c>
      <c r="F110" s="62">
        <v>207136.15755436558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30">D112+D113</f>
        <v>1885316.1659999997</v>
      </c>
      <c r="E111" s="62">
        <f t="shared" ref="E111" si="31">E112+E113</f>
        <v>1918149.8523985248</v>
      </c>
      <c r="F111" s="62">
        <f t="shared" si="30"/>
        <v>1832000</v>
      </c>
    </row>
    <row r="112" spans="1:10" ht="25.5" customHeight="1" x14ac:dyDescent="0.2">
      <c r="A112" s="36"/>
      <c r="B112" s="30" t="s">
        <v>64</v>
      </c>
      <c r="C112" s="31" t="s">
        <v>125</v>
      </c>
      <c r="D112" s="62">
        <v>902305.85299999989</v>
      </c>
      <c r="E112" s="62">
        <v>943067.6248929518</v>
      </c>
      <c r="F112" s="62">
        <v>901920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62">
        <v>983010.31299999985</v>
      </c>
      <c r="E113" s="62">
        <v>975082.22750557296</v>
      </c>
      <c r="F113" s="62">
        <v>930080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1164.7009999999998</v>
      </c>
      <c r="E114" s="82">
        <f t="shared" ref="E114:F114" si="32">E116+E117</f>
        <v>1191.0559999999998</v>
      </c>
      <c r="F114" s="63">
        <f t="shared" si="32"/>
        <v>1217.9089999999999</v>
      </c>
    </row>
    <row r="115" spans="1:8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65">
        <f>2.84+1131.877</f>
        <v>1134.7169999999999</v>
      </c>
      <c r="E116" s="65">
        <f>2.849+1157.684</f>
        <v>1160.5329999999999</v>
      </c>
      <c r="F116" s="65">
        <f>2.849+1184.079</f>
        <v>1186.9279999999999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29.984000000000002</v>
      </c>
      <c r="E117" s="101">
        <f t="shared" ref="E117:F117" si="33">E118+E119+E120</f>
        <v>30.523</v>
      </c>
      <c r="F117" s="101">
        <f t="shared" si="33"/>
        <v>30.981000000000002</v>
      </c>
    </row>
    <row r="118" spans="1:8" ht="22.5" customHeight="1" x14ac:dyDescent="0.2">
      <c r="A118" s="36"/>
      <c r="B118" s="30" t="s">
        <v>163</v>
      </c>
      <c r="C118" s="31" t="s">
        <v>70</v>
      </c>
      <c r="D118" s="63">
        <v>29.466000000000001</v>
      </c>
      <c r="E118" s="63">
        <v>29.991</v>
      </c>
      <c r="F118" s="63">
        <v>30.44</v>
      </c>
    </row>
    <row r="119" spans="1:8" ht="21" customHeight="1" x14ac:dyDescent="0.2">
      <c r="A119" s="36"/>
      <c r="B119" s="30" t="s">
        <v>60</v>
      </c>
      <c r="C119" s="31" t="s">
        <v>70</v>
      </c>
      <c r="D119" s="63">
        <v>0.498</v>
      </c>
      <c r="E119" s="63">
        <v>0.51200000000000001</v>
      </c>
      <c r="F119" s="63">
        <v>0.52100000000000002</v>
      </c>
    </row>
    <row r="120" spans="1:8" ht="24" customHeight="1" x14ac:dyDescent="0.2">
      <c r="A120" s="36"/>
      <c r="B120" s="30" t="s">
        <v>61</v>
      </c>
      <c r="C120" s="31" t="s">
        <v>70</v>
      </c>
      <c r="D120" s="63">
        <v>0.02</v>
      </c>
      <c r="E120" s="63">
        <v>0.02</v>
      </c>
      <c r="F120" s="63">
        <v>0.02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100">
        <v>4.5999999999999999E-2</v>
      </c>
      <c r="E121" s="65">
        <v>3.5999999999999997E-2</v>
      </c>
      <c r="F121" s="65">
        <v>3.5999999999999997E-2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84">
        <f>D124+D125+3578+24821</f>
        <v>1300871</v>
      </c>
      <c r="E122" s="84">
        <v>1241866</v>
      </c>
      <c r="F122" s="62">
        <v>1299177</v>
      </c>
      <c r="H122" s="56"/>
    </row>
    <row r="123" spans="1:8" ht="24.75" customHeight="1" x14ac:dyDescent="0.2">
      <c r="A123" s="36"/>
      <c r="B123" s="30" t="s">
        <v>23</v>
      </c>
      <c r="C123" s="37"/>
      <c r="D123" s="125"/>
      <c r="E123" s="125"/>
      <c r="F123" s="124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62">
        <f>1158884+28548</f>
        <v>1187432</v>
      </c>
      <c r="E124" s="62">
        <v>1128218</v>
      </c>
      <c r="F124" s="62">
        <v>1182749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 t="shared" ref="D125" si="34">D126+D127+D128</f>
        <v>85040</v>
      </c>
      <c r="E125" s="62">
        <f t="shared" ref="E125:F125" si="35">E126+E127+E128</f>
        <v>84630</v>
      </c>
      <c r="F125" s="62">
        <f t="shared" si="35"/>
        <v>86548</v>
      </c>
    </row>
    <row r="126" spans="1:8" ht="26.25" customHeight="1" x14ac:dyDescent="0.2">
      <c r="A126" s="36"/>
      <c r="B126" s="38" t="s">
        <v>163</v>
      </c>
      <c r="C126" s="18" t="s">
        <v>79</v>
      </c>
      <c r="D126" s="62">
        <v>83190</v>
      </c>
      <c r="E126" s="62">
        <v>82726</v>
      </c>
      <c r="F126" s="62">
        <v>84780</v>
      </c>
    </row>
    <row r="127" spans="1:8" ht="26.25" customHeight="1" x14ac:dyDescent="0.2">
      <c r="A127" s="36"/>
      <c r="B127" s="38" t="s">
        <v>60</v>
      </c>
      <c r="C127" s="18" t="s">
        <v>79</v>
      </c>
      <c r="D127" s="62">
        <v>1697</v>
      </c>
      <c r="E127" s="62">
        <v>1713</v>
      </c>
      <c r="F127" s="62">
        <v>1635</v>
      </c>
    </row>
    <row r="128" spans="1:8" ht="25.5" customHeight="1" x14ac:dyDescent="0.2">
      <c r="A128" s="36"/>
      <c r="B128" s="38" t="s">
        <v>61</v>
      </c>
      <c r="C128" s="18" t="s">
        <v>79</v>
      </c>
      <c r="D128" s="62">
        <v>153</v>
      </c>
      <c r="E128" s="62">
        <v>191</v>
      </c>
      <c r="F128" s="62">
        <v>133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62">
        <v>3290934</v>
      </c>
      <c r="E130" s="62">
        <v>4162035.93</v>
      </c>
      <c r="F130" s="62">
        <v>6497558</v>
      </c>
    </row>
    <row r="131" spans="1:8" ht="42.75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1047.0999999999999</v>
      </c>
      <c r="E132" s="103">
        <v>1191.5</v>
      </c>
      <c r="F132" s="103">
        <v>1191.5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73.5</v>
      </c>
      <c r="E133" s="103">
        <v>79.856999999999999</v>
      </c>
      <c r="F133" s="103">
        <v>83.156999999999996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347126.08</v>
      </c>
      <c r="E135" s="62">
        <v>566783.69999999995</v>
      </c>
      <c r="F135" s="62">
        <v>480837.89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644591.14</v>
      </c>
      <c r="E136" s="62">
        <v>674857.04</v>
      </c>
      <c r="F136" s="62">
        <v>770337.15899999999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345084.04</v>
      </c>
      <c r="E137" s="62">
        <v>328393.90000000002</v>
      </c>
      <c r="F137" s="62">
        <v>435762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0.10485899747609645</v>
      </c>
      <c r="E139" s="92">
        <f>E137/E130*100%</f>
        <v>7.8902226103559847E-2</v>
      </c>
      <c r="F139" s="92">
        <f>F137/F130*100%</f>
        <v>6.706550368615409E-2</v>
      </c>
    </row>
    <row r="140" spans="1:8" ht="210.75" customHeight="1" thickBot="1" x14ac:dyDescent="0.3">
      <c r="A140" s="35" t="s">
        <v>108</v>
      </c>
      <c r="B140" s="32" t="s">
        <v>109</v>
      </c>
      <c r="C140" s="21"/>
      <c r="D140" s="102" t="s">
        <v>191</v>
      </c>
      <c r="E140" s="102" t="s">
        <v>191</v>
      </c>
      <c r="F140" s="150" t="s">
        <v>192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145"/>
      <c r="E142" s="68"/>
      <c r="F142" s="68"/>
      <c r="G142" s="23"/>
    </row>
    <row r="143" spans="1:8" x14ac:dyDescent="0.2">
      <c r="A143" s="163"/>
      <c r="B143" s="163"/>
      <c r="C143" s="163"/>
      <c r="D143" s="163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4" t="s">
        <v>112</v>
      </c>
      <c r="B154" s="164"/>
      <c r="C154" s="164"/>
      <c r="D154" s="164"/>
      <c r="E154" s="164"/>
      <c r="F154" s="1"/>
    </row>
    <row r="155" spans="1:9" ht="51.75" customHeight="1" thickBot="1" x14ac:dyDescent="0.25">
      <c r="A155" s="165" t="s">
        <v>16</v>
      </c>
      <c r="B155" s="165" t="s">
        <v>17</v>
      </c>
      <c r="C155" s="165" t="s">
        <v>18</v>
      </c>
      <c r="D155" s="157" t="s">
        <v>19</v>
      </c>
      <c r="E155" s="158"/>
      <c r="F155" s="157" t="s">
        <v>185</v>
      </c>
      <c r="G155" s="158"/>
      <c r="H155" s="159" t="s">
        <v>20</v>
      </c>
      <c r="I155" s="160"/>
    </row>
    <row r="156" spans="1:9" ht="32.25" customHeight="1" thickBot="1" x14ac:dyDescent="0.25">
      <c r="A156" s="166"/>
      <c r="B156" s="166"/>
      <c r="C156" s="166"/>
      <c r="D156" s="146" t="s">
        <v>113</v>
      </c>
      <c r="E156" s="69" t="s">
        <v>114</v>
      </c>
      <c r="F156" s="58" t="s">
        <v>187</v>
      </c>
      <c r="G156" s="58" t="s">
        <v>186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85"/>
      <c r="E157" s="71"/>
      <c r="F157" s="71"/>
      <c r="G157" s="70"/>
      <c r="H157" s="25"/>
      <c r="I157" s="139"/>
    </row>
    <row r="158" spans="1:9" ht="21" customHeight="1" x14ac:dyDescent="0.2">
      <c r="A158" s="14" t="s">
        <v>75</v>
      </c>
      <c r="B158" s="15" t="s">
        <v>115</v>
      </c>
      <c r="C158" s="17"/>
      <c r="D158" s="85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147">
        <v>425.89</v>
      </c>
      <c r="E159" s="28">
        <v>429.55</v>
      </c>
      <c r="F159" s="28">
        <v>595.29</v>
      </c>
      <c r="G159" s="28">
        <v>595.16999999999996</v>
      </c>
      <c r="H159" s="28">
        <v>595.16999999999996</v>
      </c>
      <c r="I159" s="89">
        <f>1320.3*1.2</f>
        <v>1584.36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126">
        <v>143.53</v>
      </c>
      <c r="E160" s="27">
        <v>143.53</v>
      </c>
      <c r="F160" s="27">
        <v>249.47</v>
      </c>
      <c r="G160" s="27">
        <v>235.92</v>
      </c>
      <c r="H160" s="27">
        <v>235.92</v>
      </c>
      <c r="I160" s="89">
        <v>284.47000000000003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85"/>
      <c r="E161" s="70"/>
      <c r="F161" s="70"/>
      <c r="G161" s="70"/>
      <c r="H161" s="70"/>
      <c r="I161" s="71"/>
    </row>
    <row r="162" spans="1:9" ht="23.25" customHeight="1" x14ac:dyDescent="0.2">
      <c r="A162" s="17"/>
      <c r="B162" s="15" t="s">
        <v>163</v>
      </c>
      <c r="C162" s="14" t="s">
        <v>165</v>
      </c>
      <c r="D162" s="148">
        <v>308.37</v>
      </c>
      <c r="E162" s="72">
        <v>427.27</v>
      </c>
      <c r="F162" s="72">
        <v>439.05</v>
      </c>
      <c r="G162" s="72">
        <v>368.88</v>
      </c>
      <c r="H162" s="72">
        <v>368.88</v>
      </c>
      <c r="I162" s="131">
        <v>675.59</v>
      </c>
    </row>
    <row r="163" spans="1:9" ht="21.75" customHeight="1" x14ac:dyDescent="0.2">
      <c r="A163" s="17"/>
      <c r="B163" s="15" t="s">
        <v>60</v>
      </c>
      <c r="C163" s="14" t="s">
        <v>165</v>
      </c>
      <c r="D163" s="148">
        <v>211.83</v>
      </c>
      <c r="E163" s="72">
        <v>310.99</v>
      </c>
      <c r="F163" s="72">
        <v>378.73</v>
      </c>
      <c r="G163" s="72">
        <v>309.16000000000003</v>
      </c>
      <c r="H163" s="72">
        <v>309.16000000000003</v>
      </c>
      <c r="I163" s="131">
        <v>642.69000000000005</v>
      </c>
    </row>
    <row r="164" spans="1:9" ht="23.25" customHeight="1" thickBot="1" x14ac:dyDescent="0.25">
      <c r="A164" s="22"/>
      <c r="B164" s="20" t="s">
        <v>61</v>
      </c>
      <c r="C164" s="133" t="s">
        <v>165</v>
      </c>
      <c r="D164" s="149">
        <v>151.1</v>
      </c>
      <c r="E164" s="105">
        <v>230.41</v>
      </c>
      <c r="F164" s="105">
        <v>335.94</v>
      </c>
      <c r="G164" s="105">
        <v>265.48</v>
      </c>
      <c r="H164" s="105">
        <v>265.48</v>
      </c>
      <c r="I164" s="105">
        <v>968.33</v>
      </c>
    </row>
    <row r="165" spans="1:9" x14ac:dyDescent="0.2">
      <c r="A165" s="161"/>
      <c r="B165" s="161"/>
      <c r="C165" s="161"/>
      <c r="D165" s="161"/>
      <c r="E165" s="161"/>
      <c r="F165" s="161"/>
    </row>
    <row r="166" spans="1:9" x14ac:dyDescent="0.2">
      <c r="A166" s="23" t="s">
        <v>110</v>
      </c>
      <c r="B166" s="23"/>
      <c r="C166" s="23"/>
      <c r="D166" s="145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  <hyperlink ref="F140" r:id="rId2" display="http://www.krskstate.ru/dat/bin/art_attach/22415_materiali_proekta_ipr_pao_krasnoyrskqnergosbit_ot_11.04.2023.zip"/>
  </hyperlinks>
  <pageMargins left="0.70866141732283472" right="0.70866141732283472" top="0.74803149606299213" bottom="0.74803149606299213" header="0.31496062992125984" footer="0.31496062992125984"/>
  <pageSetup paperSize="9" scale="75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48" zoomScale="87" zoomScaleNormal="87" workbookViewId="0">
      <selection activeCell="B177" sqref="B177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6" width="20.5703125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7" t="s">
        <v>120</v>
      </c>
      <c r="B1" s="167"/>
      <c r="C1" s="167"/>
      <c r="D1" s="167"/>
      <c r="E1" s="167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181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1" t="s">
        <v>152</v>
      </c>
      <c r="B5" s="161"/>
      <c r="C5" s="161"/>
      <c r="D5" s="161"/>
      <c r="E5" s="161"/>
      <c r="F5" s="1"/>
    </row>
    <row r="6" spans="1:6" x14ac:dyDescent="0.2">
      <c r="A6" s="161" t="s">
        <v>123</v>
      </c>
      <c r="B6" s="161"/>
      <c r="C6" s="161"/>
      <c r="D6" s="161"/>
      <c r="E6" s="161"/>
      <c r="F6" s="1"/>
    </row>
    <row r="7" spans="1:6" ht="22.5" customHeight="1" x14ac:dyDescent="0.2">
      <c r="A7" s="161" t="s">
        <v>153</v>
      </c>
      <c r="B7" s="161"/>
      <c r="C7" s="161"/>
      <c r="D7" s="161"/>
      <c r="E7" s="161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1" t="s">
        <v>4</v>
      </c>
      <c r="B18" s="161"/>
      <c r="C18" s="2" t="s">
        <v>154</v>
      </c>
    </row>
    <row r="19" spans="1:3" x14ac:dyDescent="0.2">
      <c r="A19" s="5"/>
    </row>
    <row r="20" spans="1:3" x14ac:dyDescent="0.2">
      <c r="A20" s="161" t="s">
        <v>5</v>
      </c>
      <c r="B20" s="161"/>
      <c r="C20" s="3" t="s">
        <v>150</v>
      </c>
    </row>
    <row r="21" spans="1:3" x14ac:dyDescent="0.2">
      <c r="A21" s="5"/>
    </row>
    <row r="22" spans="1:3" x14ac:dyDescent="0.2">
      <c r="A22" s="161" t="s">
        <v>6</v>
      </c>
      <c r="B22" s="161"/>
      <c r="C22" s="2" t="s">
        <v>130</v>
      </c>
    </row>
    <row r="23" spans="1:3" x14ac:dyDescent="0.2">
      <c r="A23" s="5"/>
    </row>
    <row r="24" spans="1:3" x14ac:dyDescent="0.2">
      <c r="A24" s="161" t="s">
        <v>7</v>
      </c>
      <c r="B24" s="161"/>
      <c r="C24" s="2" t="s">
        <v>130</v>
      </c>
    </row>
    <row r="25" spans="1:3" x14ac:dyDescent="0.2">
      <c r="A25" s="5"/>
    </row>
    <row r="26" spans="1:3" x14ac:dyDescent="0.2">
      <c r="A26" s="161" t="s">
        <v>8</v>
      </c>
      <c r="B26" s="161"/>
      <c r="C26" s="4">
        <v>2466132221</v>
      </c>
    </row>
    <row r="27" spans="1:3" x14ac:dyDescent="0.2">
      <c r="A27" s="5"/>
    </row>
    <row r="28" spans="1:3" x14ac:dyDescent="0.2">
      <c r="A28" s="161" t="s">
        <v>9</v>
      </c>
      <c r="B28" s="161"/>
      <c r="C28" s="3">
        <v>246601001</v>
      </c>
    </row>
    <row r="29" spans="1:3" x14ac:dyDescent="0.2">
      <c r="A29" s="5"/>
    </row>
    <row r="30" spans="1:3" x14ac:dyDescent="0.2">
      <c r="A30" s="161" t="s">
        <v>10</v>
      </c>
      <c r="B30" s="161"/>
      <c r="C30" s="2" t="s">
        <v>129</v>
      </c>
    </row>
    <row r="31" spans="1:3" x14ac:dyDescent="0.2">
      <c r="A31" s="5"/>
    </row>
    <row r="32" spans="1:3" ht="15" x14ac:dyDescent="0.25">
      <c r="A32" s="161" t="s">
        <v>11</v>
      </c>
      <c r="B32" s="161"/>
      <c r="C32" s="10" t="s">
        <v>136</v>
      </c>
    </row>
    <row r="33" spans="1:8" x14ac:dyDescent="0.2">
      <c r="A33" s="5"/>
    </row>
    <row r="34" spans="1:8" x14ac:dyDescent="0.2">
      <c r="A34" s="161" t="s">
        <v>12</v>
      </c>
      <c r="B34" s="161"/>
      <c r="C34" s="2" t="s">
        <v>131</v>
      </c>
    </row>
    <row r="35" spans="1:8" x14ac:dyDescent="0.2">
      <c r="A35" s="5"/>
    </row>
    <row r="36" spans="1:8" x14ac:dyDescent="0.2">
      <c r="A36" s="161" t="s">
        <v>13</v>
      </c>
      <c r="B36" s="161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  <c r="E44" s="129"/>
    </row>
    <row r="45" spans="1:8" x14ac:dyDescent="0.2">
      <c r="A45" s="5"/>
      <c r="E45" s="129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D47" s="117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21" t="s">
        <v>18</v>
      </c>
      <c r="D48" s="58" t="s">
        <v>182</v>
      </c>
      <c r="E48" s="128" t="s">
        <v>183</v>
      </c>
      <c r="F48" s="112" t="s">
        <v>184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11611033.454</v>
      </c>
      <c r="E49" s="80">
        <f>E51+E101+E111</f>
        <v>11231127.210000001</v>
      </c>
      <c r="F49" s="96">
        <f>F51+F101+F111</f>
        <v>10870000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3680247.9740000004</v>
      </c>
      <c r="E51" s="80">
        <f>E52+E55+E94</f>
        <v>3694550.7</v>
      </c>
      <c r="F51" s="59">
        <f>F52+F55+F94</f>
        <v>3775000.0000000005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2125942.4300000002</v>
      </c>
      <c r="E52" s="80">
        <f t="shared" ref="E52:F57" si="0">E60+E67+E88+E81</f>
        <v>2444950.6359999995</v>
      </c>
      <c r="F52" s="59">
        <f t="shared" si="0"/>
        <v>2082989.5130636739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1073108.929</v>
      </c>
      <c r="E53" s="80">
        <f t="shared" si="0"/>
        <v>1285801.57</v>
      </c>
      <c r="F53" s="59">
        <f t="shared" si="0"/>
        <v>1043739.9457176824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1052833.5009999999</v>
      </c>
      <c r="E54" s="80">
        <f t="shared" si="0"/>
        <v>1159149.0659999996</v>
      </c>
      <c r="F54" s="59">
        <f t="shared" si="0"/>
        <v>1039249.5673459915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1554305.5440000002</v>
      </c>
      <c r="E55" s="80">
        <f t="shared" si="0"/>
        <v>1028847.888000001</v>
      </c>
      <c r="F55" s="59">
        <f t="shared" si="0"/>
        <v>1458448.489627969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873146.14199999999</v>
      </c>
      <c r="E56" s="80">
        <f t="shared" si="0"/>
        <v>536985.78400000045</v>
      </c>
      <c r="F56" s="59">
        <f t="shared" si="0"/>
        <v>811848.89520841138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681159.402</v>
      </c>
      <c r="E57" s="80">
        <f t="shared" si="0"/>
        <v>491862.10400000046</v>
      </c>
      <c r="F57" s="59">
        <f t="shared" si="0"/>
        <v>646599.59441955772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379304.03300000005</v>
      </c>
      <c r="E59" s="80">
        <f>E60+E63</f>
        <v>403924.83129207295</v>
      </c>
      <c r="F59" s="59">
        <f>F60+F63</f>
        <v>392074.78485209926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240854.28000000003</v>
      </c>
      <c r="E60" s="80">
        <f>E61+E62</f>
        <v>309503.23816766473</v>
      </c>
      <c r="F60" s="59">
        <f>F61+F62</f>
        <v>254170.24192132658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62">
        <v>122284.66300000002</v>
      </c>
      <c r="E61" s="62">
        <v>163450.8413638928</v>
      </c>
      <c r="F61" s="62">
        <v>127145.45687010969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62">
        <v>118569.617</v>
      </c>
      <c r="E62" s="62">
        <v>146052.39680377193</v>
      </c>
      <c r="F62" s="62">
        <v>127024.7850512169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138449.753</v>
      </c>
      <c r="E63" s="84">
        <f>E64+E65</f>
        <v>94421.593124408217</v>
      </c>
      <c r="F63" s="62">
        <f>F64+F65</f>
        <v>137904.5429307727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62">
        <v>78918.679000000004</v>
      </c>
      <c r="E64" s="84">
        <v>49928.300593037718</v>
      </c>
      <c r="F64" s="62">
        <v>78181.291292046459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62">
        <v>59531.073999999993</v>
      </c>
      <c r="E65" s="84">
        <v>44493.292531370505</v>
      </c>
      <c r="F65" s="62">
        <v>59723.251638726237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1871722.3740000001</v>
      </c>
      <c r="E66" s="84">
        <f>E67+E70</f>
        <v>1848303.9042208383</v>
      </c>
      <c r="F66" s="62">
        <f>F67+F70</f>
        <v>1904376.6088948387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1198773.253</v>
      </c>
      <c r="E67" s="84">
        <f>E68+E69</f>
        <v>1362316.2587235854</v>
      </c>
      <c r="F67" s="62">
        <f>F68+F69</f>
        <v>1250624.4158092672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62">
        <v>605699.97299999988</v>
      </c>
      <c r="E68" s="84">
        <f>749326.244166324-37261.4142073936</f>
        <v>712064.82995893038</v>
      </c>
      <c r="F68" s="62">
        <f>628058.837568785-942.534428692478</f>
        <v>627116.30314009252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62">
        <v>593073.28</v>
      </c>
      <c r="E69" s="84">
        <f>682893.304190862-32641.8754262069</f>
        <v>650251.42876465514</v>
      </c>
      <c r="F69" s="62">
        <f>624447.413050983-939.300381808277</f>
        <v>623508.11266917468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672949.12100000004</v>
      </c>
      <c r="E70" s="84">
        <f>E71+E72</f>
        <v>485987.64549725293</v>
      </c>
      <c r="F70" s="62">
        <f>F71+F72</f>
        <v>653752.19308557152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369565.68300000002</v>
      </c>
      <c r="E71" s="84">
        <f>262721.229908619-10335.04967185</f>
        <v>252386.18023676903</v>
      </c>
      <c r="F71" s="62">
        <f>360467.75052678-6497.39417832089</f>
        <v>353970.35634845908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303383.43799999997</v>
      </c>
      <c r="E72" s="84">
        <f>243930.337162058-10328.8719015741</f>
        <v>233601.46526048388</v>
      </c>
      <c r="F72" s="62">
        <f>305553.80894579-5771.97220867752</f>
        <v>299781.83673711249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84">
        <f t="shared" ref="E73:F73" si="2">E74+E77</f>
        <v>0</v>
      </c>
      <c r="F73" s="62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84">
        <f t="shared" ref="E74:F74" si="3">E75+E76</f>
        <v>0</v>
      </c>
      <c r="F74" s="62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62"/>
      <c r="E75" s="84"/>
      <c r="F75" s="62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62"/>
      <c r="E76" s="84"/>
      <c r="F76" s="62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84">
        <f t="shared" ref="E77:F77" si="4">E78+E79</f>
        <v>0</v>
      </c>
      <c r="F77" s="62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62"/>
      <c r="E78" s="84"/>
      <c r="F78" s="62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62"/>
      <c r="E79" s="84"/>
      <c r="F79" s="62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0</v>
      </c>
      <c r="E80" s="84">
        <f t="shared" ref="E80:F80" si="5">E81+E84</f>
        <v>90567.211207024608</v>
      </c>
      <c r="F80" s="62">
        <f t="shared" si="5"/>
        <v>14151.201197499166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0</v>
      </c>
      <c r="E81" s="84">
        <f t="shared" ref="E81:F81" si="6">E82+E83</f>
        <v>69903.289633600507</v>
      </c>
      <c r="F81" s="62">
        <f t="shared" si="6"/>
        <v>1881.8348105007549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62"/>
      <c r="E82" s="130">
        <v>37261.414207393602</v>
      </c>
      <c r="F82" s="62">
        <v>942.53442869247795</v>
      </c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62"/>
      <c r="E83" s="130">
        <v>32641.875426206901</v>
      </c>
      <c r="F83" s="62">
        <v>939.30038180827705</v>
      </c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0</v>
      </c>
      <c r="E84" s="84">
        <f t="shared" ref="E84:F84" si="7">E85+E86</f>
        <v>20663.921573424101</v>
      </c>
      <c r="F84" s="62">
        <f t="shared" si="7"/>
        <v>12269.36638699841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62"/>
      <c r="E85" s="84">
        <v>10335.04967185</v>
      </c>
      <c r="F85" s="62">
        <v>6497.3941783208902</v>
      </c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62"/>
      <c r="E86" s="84">
        <v>10328.871901574101</v>
      </c>
      <c r="F86" s="62">
        <v>5771.97220867752</v>
      </c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1196629.9539999999</v>
      </c>
      <c r="E87" s="84">
        <f>E88+E91</f>
        <v>1131002.5772800646</v>
      </c>
      <c r="F87" s="62">
        <f>F88+F91</f>
        <v>1230835.4077472058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542386.68500000006</v>
      </c>
      <c r="E88" s="84">
        <f>E89+E90</f>
        <v>703227.84947514907</v>
      </c>
      <c r="F88" s="62">
        <f>F89+F90</f>
        <v>576313.02052257932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62">
        <v>274986.42000000004</v>
      </c>
      <c r="E89" s="84">
        <v>373024.48446978343</v>
      </c>
      <c r="F89" s="62">
        <v>288535.65127878782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62">
        <v>267400.26500000001</v>
      </c>
      <c r="E90" s="84">
        <v>330203.36500536557</v>
      </c>
      <c r="F90" s="62">
        <v>287777.3692437915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654243.26899999997</v>
      </c>
      <c r="E91" s="84">
        <f>E92+E93</f>
        <v>427774.72780491563</v>
      </c>
      <c r="F91" s="62">
        <f>F92+F93</f>
        <v>654522.38722462638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62">
        <v>371579.03100000002</v>
      </c>
      <c r="E92" s="84">
        <v>224336.25349834363</v>
      </c>
      <c r="F92" s="62">
        <v>373199.85338958493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62">
        <v>282664.23799999995</v>
      </c>
      <c r="E93" s="84">
        <v>203438.474306572</v>
      </c>
      <c r="F93" s="62">
        <v>281322.53383504145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232591.61300000001</v>
      </c>
      <c r="E94" s="118">
        <f>E95+E98</f>
        <v>220752.17600000001</v>
      </c>
      <c r="F94" s="119">
        <f>F95+F98</f>
        <v>233561.99730835744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143928.212</v>
      </c>
      <c r="E95" s="118">
        <f>E96+E97</f>
        <v>141284.264</v>
      </c>
      <c r="F95" s="119">
        <f>F96+F97</f>
        <v>120336.4359363262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70137.872999999992</v>
      </c>
      <c r="E96" s="118">
        <v>68458.03</v>
      </c>
      <c r="F96" s="119">
        <v>61758.486282317572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73790.339000000022</v>
      </c>
      <c r="E97" s="118">
        <v>72826.233999999997</v>
      </c>
      <c r="F97" s="119">
        <v>58577.949654008633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88663.401000000013</v>
      </c>
      <c r="E98" s="118">
        <f>E99+E100</f>
        <v>79467.912000000011</v>
      </c>
      <c r="F98" s="119">
        <f>F99+F100</f>
        <v>113225.56137203122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53082.749000000003</v>
      </c>
      <c r="E99" s="118">
        <v>43440.516000000003</v>
      </c>
      <c r="F99" s="119">
        <v>58552.672791588448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35580.652000000002</v>
      </c>
      <c r="E100" s="118">
        <v>36027.396000000001</v>
      </c>
      <c r="F100" s="119">
        <v>54672.888580442777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</f>
        <v>5968178.415</v>
      </c>
      <c r="E101" s="84">
        <f>E102+E105+E108</f>
        <v>5544995.6770000001</v>
      </c>
      <c r="F101" s="62">
        <f>F102+F105+F108</f>
        <v>5124999.9999999991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4">
        <f t="shared" ref="D102:F102" si="8">D103+D104</f>
        <v>3151206.324</v>
      </c>
      <c r="E102" s="84">
        <f t="shared" si="8"/>
        <v>2875353.4313141005</v>
      </c>
      <c r="F102" s="62">
        <f t="shared" si="8"/>
        <v>2960985.7989284471</v>
      </c>
    </row>
    <row r="103" spans="1:10" ht="23.25" customHeight="1" x14ac:dyDescent="0.2">
      <c r="A103" s="36"/>
      <c r="B103" s="30" t="s">
        <v>28</v>
      </c>
      <c r="C103" s="31" t="s">
        <v>125</v>
      </c>
      <c r="D103" s="62">
        <v>1669469.8149999999</v>
      </c>
      <c r="E103" s="62">
        <v>1483579.8786435374</v>
      </c>
      <c r="F103" s="62">
        <v>1552962.4418308404</v>
      </c>
    </row>
    <row r="104" spans="1:10" ht="21.75" customHeight="1" x14ac:dyDescent="0.2">
      <c r="A104" s="36"/>
      <c r="B104" s="30" t="s">
        <v>29</v>
      </c>
      <c r="C104" s="31" t="s">
        <v>125</v>
      </c>
      <c r="D104" s="62">
        <v>1481736.5089999998</v>
      </c>
      <c r="E104" s="62">
        <v>1391773.5526705629</v>
      </c>
      <c r="F104" s="62">
        <v>1408023.3570976064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62">
        <f t="shared" ref="D105:F105" si="9">D106+D107</f>
        <v>1920777.852</v>
      </c>
      <c r="E105" s="84">
        <f t="shared" si="9"/>
        <v>1833097.4357012932</v>
      </c>
      <c r="F105" s="62">
        <f t="shared" si="9"/>
        <v>1545122.4471101635</v>
      </c>
    </row>
    <row r="106" spans="1:10" ht="24.75" customHeight="1" x14ac:dyDescent="0.2">
      <c r="A106" s="36"/>
      <c r="B106" s="30" t="s">
        <v>28</v>
      </c>
      <c r="C106" s="31" t="s">
        <v>125</v>
      </c>
      <c r="D106" s="62">
        <v>1005388.4209999999</v>
      </c>
      <c r="E106" s="84">
        <v>936027.6202071989</v>
      </c>
      <c r="F106" s="62">
        <v>799388.82491280464</v>
      </c>
    </row>
    <row r="107" spans="1:10" ht="22.5" customHeight="1" x14ac:dyDescent="0.2">
      <c r="A107" s="36"/>
      <c r="B107" s="30" t="s">
        <v>29</v>
      </c>
      <c r="C107" s="31" t="s">
        <v>125</v>
      </c>
      <c r="D107" s="62">
        <v>915389.43099999998</v>
      </c>
      <c r="E107" s="84">
        <v>897069.81549409428</v>
      </c>
      <c r="F107" s="62">
        <v>745733.62219735899</v>
      </c>
    </row>
    <row r="108" spans="1:10" ht="25.5" customHeight="1" x14ac:dyDescent="0.2">
      <c r="A108" s="36"/>
      <c r="B108" s="30" t="s">
        <v>61</v>
      </c>
      <c r="C108" s="31" t="s">
        <v>125</v>
      </c>
      <c r="D108" s="62">
        <f t="shared" ref="D108:F108" si="10">D109+D110</f>
        <v>896194.23900000006</v>
      </c>
      <c r="E108" s="84">
        <f t="shared" si="10"/>
        <v>836544.80998460669</v>
      </c>
      <c r="F108" s="62">
        <f t="shared" si="10"/>
        <v>618891.75396138907</v>
      </c>
    </row>
    <row r="109" spans="1:10" ht="26.25" customHeight="1" x14ac:dyDescent="0.2">
      <c r="A109" s="36"/>
      <c r="B109" s="30" t="s">
        <v>28</v>
      </c>
      <c r="C109" s="31" t="s">
        <v>125</v>
      </c>
      <c r="D109" s="62">
        <v>509471.87</v>
      </c>
      <c r="E109" s="84">
        <v>424604.06614926382</v>
      </c>
      <c r="F109" s="62">
        <v>320068.73325635481</v>
      </c>
    </row>
    <row r="110" spans="1:10" ht="24" customHeight="1" x14ac:dyDescent="0.2">
      <c r="A110" s="36"/>
      <c r="B110" s="30" t="s">
        <v>29</v>
      </c>
      <c r="C110" s="31" t="s">
        <v>125</v>
      </c>
      <c r="D110" s="62">
        <v>386722.36900000006</v>
      </c>
      <c r="E110" s="84">
        <v>411940.74383534293</v>
      </c>
      <c r="F110" s="62">
        <v>298823.02070503426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11">D112+D113</f>
        <v>1962607.0649999999</v>
      </c>
      <c r="E111" s="84">
        <f t="shared" si="11"/>
        <v>1991580.8330000001</v>
      </c>
      <c r="F111" s="62">
        <f t="shared" si="11"/>
        <v>1970000</v>
      </c>
    </row>
    <row r="112" spans="1:10" ht="25.5" customHeight="1" x14ac:dyDescent="0.2">
      <c r="A112" s="36"/>
      <c r="B112" s="30" t="s">
        <v>64</v>
      </c>
      <c r="C112" s="31" t="s">
        <v>125</v>
      </c>
      <c r="D112" s="62">
        <v>968950.53799999994</v>
      </c>
      <c r="E112" s="84">
        <v>1006279.0649999999</v>
      </c>
      <c r="F112" s="62">
        <v>968560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62">
        <v>993656.527</v>
      </c>
      <c r="E113" s="84">
        <v>985301.76800000004</v>
      </c>
      <c r="F113" s="62">
        <v>1001440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1138.5279999999998</v>
      </c>
      <c r="E114" s="82">
        <f t="shared" ref="E114:F114" si="12">E116+E117</f>
        <v>1166.4069999999999</v>
      </c>
      <c r="F114" s="63">
        <f t="shared" si="12"/>
        <v>1189.443</v>
      </c>
    </row>
    <row r="115" spans="1:8" ht="18" customHeight="1" x14ac:dyDescent="0.2">
      <c r="A115" s="36"/>
      <c r="B115" s="30" t="s">
        <v>23</v>
      </c>
      <c r="C115" s="37"/>
      <c r="D115" s="122"/>
      <c r="E115" s="123"/>
      <c r="F115" s="122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65">
        <f>2.849+1106.07</f>
        <v>1108.9189999999999</v>
      </c>
      <c r="E116" s="65">
        <f>2.84+1133.583</f>
        <v>1136.423</v>
      </c>
      <c r="F116" s="65">
        <f>2.831+1156.255</f>
        <v>1159.086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27">
        <f>D118+D119+D120</f>
        <v>29.609000000000002</v>
      </c>
      <c r="E117" s="101">
        <f t="shared" ref="E117:F117" si="13">E118+E119+E120</f>
        <v>29.984000000000002</v>
      </c>
      <c r="F117" s="127">
        <f t="shared" si="13"/>
        <v>30.356999999999999</v>
      </c>
    </row>
    <row r="118" spans="1:8" ht="22.5" customHeight="1" x14ac:dyDescent="0.2">
      <c r="A118" s="36"/>
      <c r="B118" s="30" t="s">
        <v>163</v>
      </c>
      <c r="C118" s="31" t="s">
        <v>70</v>
      </c>
      <c r="D118" s="126">
        <v>29.093</v>
      </c>
      <c r="E118" s="63">
        <v>29.466000000000001</v>
      </c>
      <c r="F118" s="126">
        <v>29.838999999999999</v>
      </c>
    </row>
    <row r="119" spans="1:8" ht="21" customHeight="1" x14ac:dyDescent="0.2">
      <c r="A119" s="36"/>
      <c r="B119" s="30" t="s">
        <v>60</v>
      </c>
      <c r="C119" s="31" t="s">
        <v>70</v>
      </c>
      <c r="D119" s="126">
        <v>0.495</v>
      </c>
      <c r="E119" s="63">
        <v>0.498</v>
      </c>
      <c r="F119" s="126">
        <v>0.498</v>
      </c>
    </row>
    <row r="120" spans="1:8" ht="24" customHeight="1" x14ac:dyDescent="0.2">
      <c r="A120" s="36"/>
      <c r="B120" s="30" t="s">
        <v>61</v>
      </c>
      <c r="C120" s="31" t="s">
        <v>70</v>
      </c>
      <c r="D120" s="126">
        <v>2.1000000000000001E-2</v>
      </c>
      <c r="E120" s="63">
        <v>0.02</v>
      </c>
      <c r="F120" s="126">
        <v>0.02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100">
        <v>4.8000000000000001E-2</v>
      </c>
      <c r="E121" s="65">
        <v>4.5999999999999999E-2</v>
      </c>
      <c r="F121" s="65">
        <v>4.5999999999999999E-2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D124+D125+3629+24678</f>
        <v>1252538</v>
      </c>
      <c r="E122" s="84">
        <f>E124+E125+3578+24821</f>
        <v>1225979</v>
      </c>
      <c r="F122" s="62">
        <f>F124+F125+3578+25421</f>
        <v>1249703</v>
      </c>
      <c r="H122" s="56"/>
    </row>
    <row r="123" spans="1:8" ht="24.75" customHeight="1" x14ac:dyDescent="0.2">
      <c r="A123" s="36"/>
      <c r="B123" s="30" t="s">
        <v>23</v>
      </c>
      <c r="C123" s="37"/>
      <c r="D123" s="124"/>
      <c r="E123" s="125"/>
      <c r="F123" s="124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1138174+2480</f>
        <v>1140654</v>
      </c>
      <c r="E124" s="62">
        <f>1111357+2496</f>
        <v>1113853</v>
      </c>
      <c r="F124" s="62">
        <f>1133583+2516</f>
        <v>1136099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83577</v>
      </c>
      <c r="E125" s="62">
        <f t="shared" ref="E125:F125" si="14">E126+E127+E128</f>
        <v>83727</v>
      </c>
      <c r="F125" s="62">
        <f t="shared" si="14"/>
        <v>84605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81666</v>
      </c>
      <c r="E126" s="62">
        <v>81804</v>
      </c>
      <c r="F126" s="62">
        <v>82754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1721</v>
      </c>
      <c r="E127" s="62">
        <v>1729</v>
      </c>
      <c r="F127" s="62">
        <v>1705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190</v>
      </c>
      <c r="E128" s="62">
        <v>194</v>
      </c>
      <c r="F128" s="62">
        <v>146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62">
        <v>3195580.9</v>
      </c>
      <c r="E130" s="62">
        <v>3290934</v>
      </c>
      <c r="F130" s="62">
        <v>5447209.9917428037</v>
      </c>
    </row>
    <row r="131" spans="1:8" ht="42.75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1297</v>
      </c>
      <c r="E132" s="62">
        <v>1295</v>
      </c>
      <c r="F132" s="103">
        <v>1214.5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62.414000000000001</v>
      </c>
      <c r="E133" s="103">
        <v>64.915999999999997</v>
      </c>
      <c r="F133" s="103">
        <v>68.847999999999999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368815.12</v>
      </c>
      <c r="E135" s="62">
        <v>347126.08</v>
      </c>
      <c r="F135" s="62">
        <v>749489.9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613844</v>
      </c>
      <c r="E136" s="62">
        <v>644591.14</v>
      </c>
      <c r="F136" s="62">
        <v>671505.13800000004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307155.8</v>
      </c>
      <c r="E137" s="62">
        <v>345084.04</v>
      </c>
      <c r="F137" s="62">
        <v>390579.00400000002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9.6118924731337582E-2</v>
      </c>
      <c r="E139" s="92">
        <f>E137/E130*100%</f>
        <v>0.10485899747609645</v>
      </c>
      <c r="F139" s="92">
        <f>F137/F130*100%</f>
        <v>7.1702578860014993E-2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175</v>
      </c>
      <c r="E140" s="102" t="s">
        <v>175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63"/>
      <c r="B143" s="163"/>
      <c r="C143" s="163"/>
      <c r="D143" s="163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4" t="s">
        <v>112</v>
      </c>
      <c r="B154" s="164"/>
      <c r="C154" s="164"/>
      <c r="D154" s="164"/>
      <c r="E154" s="164"/>
      <c r="F154" s="1"/>
    </row>
    <row r="155" spans="1:9" ht="51.75" customHeight="1" thickBot="1" x14ac:dyDescent="0.25">
      <c r="A155" s="165" t="s">
        <v>16</v>
      </c>
      <c r="B155" s="165" t="s">
        <v>17</v>
      </c>
      <c r="C155" s="165" t="s">
        <v>18</v>
      </c>
      <c r="D155" s="157" t="s">
        <v>19</v>
      </c>
      <c r="E155" s="158"/>
      <c r="F155" s="157" t="s">
        <v>183</v>
      </c>
      <c r="G155" s="158"/>
      <c r="H155" s="159" t="s">
        <v>20</v>
      </c>
      <c r="I155" s="160"/>
    </row>
    <row r="156" spans="1:9" ht="32.25" customHeight="1" thickBot="1" x14ac:dyDescent="0.25">
      <c r="A156" s="166"/>
      <c r="B156" s="166"/>
      <c r="C156" s="166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39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414.02</v>
      </c>
      <c r="E159" s="89">
        <v>425.89</v>
      </c>
      <c r="F159" s="28">
        <v>425.89</v>
      </c>
      <c r="G159" s="28">
        <v>429.55</v>
      </c>
      <c r="H159" s="136">
        <v>429.55</v>
      </c>
      <c r="I159" s="89">
        <f>1162.5*1.2</f>
        <v>1395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205.05</v>
      </c>
      <c r="E160" s="40">
        <v>271.23</v>
      </c>
      <c r="F160" s="27">
        <v>143.53</v>
      </c>
      <c r="G160" s="27">
        <v>143.53</v>
      </c>
      <c r="H160" s="137">
        <v>262.25</v>
      </c>
      <c r="I160" s="89">
        <v>262.25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0"/>
      <c r="F161" s="70"/>
      <c r="G161" s="70"/>
      <c r="H161" s="70"/>
      <c r="I161" s="71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308.37</v>
      </c>
      <c r="E162" s="72">
        <v>308.37</v>
      </c>
      <c r="F162" s="72">
        <v>308.37</v>
      </c>
      <c r="G162" s="72">
        <v>427.27</v>
      </c>
      <c r="H162" s="135">
        <v>427.27</v>
      </c>
      <c r="I162" s="131">
        <v>507.147219763735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209.69</v>
      </c>
      <c r="E163" s="72">
        <v>211.83</v>
      </c>
      <c r="F163" s="72">
        <v>211.83</v>
      </c>
      <c r="G163" s="72">
        <v>310.99</v>
      </c>
      <c r="H163" s="135">
        <v>310.99</v>
      </c>
      <c r="I163" s="131">
        <v>434.34444096166601</v>
      </c>
    </row>
    <row r="164" spans="1:9" ht="23.25" customHeight="1" thickBot="1" x14ac:dyDescent="0.25">
      <c r="A164" s="22"/>
      <c r="B164" s="20" t="s">
        <v>61</v>
      </c>
      <c r="C164" s="120" t="s">
        <v>165</v>
      </c>
      <c r="D164" s="73">
        <v>145.49</v>
      </c>
      <c r="E164" s="105">
        <v>151.1</v>
      </c>
      <c r="F164" s="105">
        <v>151.1</v>
      </c>
      <c r="G164" s="105">
        <v>230.41</v>
      </c>
      <c r="H164" s="138">
        <v>230.41</v>
      </c>
      <c r="I164" s="105">
        <v>361.28223256900702</v>
      </c>
    </row>
    <row r="165" spans="1:9" x14ac:dyDescent="0.2">
      <c r="A165" s="161"/>
      <c r="B165" s="161"/>
      <c r="C165" s="161"/>
      <c r="D165" s="161"/>
      <c r="E165" s="161"/>
      <c r="F165" s="161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15" workbookViewId="0">
      <selection activeCell="D125" sqref="D125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7" t="s">
        <v>120</v>
      </c>
      <c r="B1" s="167"/>
      <c r="C1" s="167"/>
      <c r="D1" s="167"/>
      <c r="E1" s="167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177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1" t="s">
        <v>152</v>
      </c>
      <c r="B5" s="161"/>
      <c r="C5" s="161"/>
      <c r="D5" s="161"/>
      <c r="E5" s="161"/>
      <c r="F5" s="1"/>
    </row>
    <row r="6" spans="1:6" x14ac:dyDescent="0.2">
      <c r="A6" s="161" t="s">
        <v>123</v>
      </c>
      <c r="B6" s="161"/>
      <c r="C6" s="161"/>
      <c r="D6" s="161"/>
      <c r="E6" s="161"/>
      <c r="F6" s="1"/>
    </row>
    <row r="7" spans="1:6" ht="22.5" customHeight="1" x14ac:dyDescent="0.2">
      <c r="A7" s="161" t="s">
        <v>153</v>
      </c>
      <c r="B7" s="161"/>
      <c r="C7" s="161"/>
      <c r="D7" s="161"/>
      <c r="E7" s="161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1" t="s">
        <v>4</v>
      </c>
      <c r="B18" s="161"/>
      <c r="C18" s="2" t="s">
        <v>154</v>
      </c>
    </row>
    <row r="19" spans="1:3" x14ac:dyDescent="0.2">
      <c r="A19" s="5"/>
    </row>
    <row r="20" spans="1:3" x14ac:dyDescent="0.2">
      <c r="A20" s="161" t="s">
        <v>5</v>
      </c>
      <c r="B20" s="161"/>
      <c r="C20" s="3" t="s">
        <v>150</v>
      </c>
    </row>
    <row r="21" spans="1:3" x14ac:dyDescent="0.2">
      <c r="A21" s="5"/>
    </row>
    <row r="22" spans="1:3" x14ac:dyDescent="0.2">
      <c r="A22" s="161" t="s">
        <v>6</v>
      </c>
      <c r="B22" s="161"/>
      <c r="C22" s="2" t="s">
        <v>130</v>
      </c>
    </row>
    <row r="23" spans="1:3" x14ac:dyDescent="0.2">
      <c r="A23" s="5"/>
    </row>
    <row r="24" spans="1:3" x14ac:dyDescent="0.2">
      <c r="A24" s="161" t="s">
        <v>7</v>
      </c>
      <c r="B24" s="161"/>
      <c r="C24" s="2" t="s">
        <v>130</v>
      </c>
    </row>
    <row r="25" spans="1:3" x14ac:dyDescent="0.2">
      <c r="A25" s="5"/>
    </row>
    <row r="26" spans="1:3" x14ac:dyDescent="0.2">
      <c r="A26" s="161" t="s">
        <v>8</v>
      </c>
      <c r="B26" s="161"/>
      <c r="C26" s="4">
        <v>2466132221</v>
      </c>
    </row>
    <row r="27" spans="1:3" x14ac:dyDescent="0.2">
      <c r="A27" s="5"/>
    </row>
    <row r="28" spans="1:3" x14ac:dyDescent="0.2">
      <c r="A28" s="161" t="s">
        <v>9</v>
      </c>
      <c r="B28" s="161"/>
      <c r="C28" s="3">
        <v>246601001</v>
      </c>
    </row>
    <row r="29" spans="1:3" x14ac:dyDescent="0.2">
      <c r="A29" s="5"/>
    </row>
    <row r="30" spans="1:3" x14ac:dyDescent="0.2">
      <c r="A30" s="161" t="s">
        <v>10</v>
      </c>
      <c r="B30" s="161"/>
      <c r="C30" s="2" t="s">
        <v>129</v>
      </c>
    </row>
    <row r="31" spans="1:3" x14ac:dyDescent="0.2">
      <c r="A31" s="5"/>
    </row>
    <row r="32" spans="1:3" ht="15" x14ac:dyDescent="0.25">
      <c r="A32" s="161" t="s">
        <v>11</v>
      </c>
      <c r="B32" s="161"/>
      <c r="C32" s="10" t="s">
        <v>136</v>
      </c>
    </row>
    <row r="33" spans="1:8" x14ac:dyDescent="0.2">
      <c r="A33" s="5"/>
    </row>
    <row r="34" spans="1:8" x14ac:dyDescent="0.2">
      <c r="A34" s="161" t="s">
        <v>12</v>
      </c>
      <c r="B34" s="161"/>
      <c r="C34" s="2" t="s">
        <v>131</v>
      </c>
    </row>
    <row r="35" spans="1:8" x14ac:dyDescent="0.2">
      <c r="A35" s="5"/>
    </row>
    <row r="36" spans="1:8" x14ac:dyDescent="0.2">
      <c r="A36" s="161" t="s">
        <v>13</v>
      </c>
      <c r="B36" s="161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D47" s="117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15" t="s">
        <v>18</v>
      </c>
      <c r="D48" s="58" t="s">
        <v>180</v>
      </c>
      <c r="E48" s="113" t="s">
        <v>178</v>
      </c>
      <c r="F48" s="112" t="s">
        <v>179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11335654.974000001</v>
      </c>
      <c r="E49" s="80">
        <f>E51+E101+E111</f>
        <v>11486408.708089311</v>
      </c>
      <c r="F49" s="96">
        <f>F51+F101+F111</f>
        <v>10924149.77019044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3529389.2390000001</v>
      </c>
      <c r="E51" s="80">
        <f>E52+E55+E94</f>
        <v>3580310.4610893126</v>
      </c>
      <c r="F51" s="59">
        <f>F52+F55+F94</f>
        <v>3706469.7701904401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2135619.8938099998</v>
      </c>
      <c r="E52" s="80">
        <f t="shared" ref="E52:F55" si="0">E60+E67+E88</f>
        <v>2368919.9402077198</v>
      </c>
      <c r="F52" s="59">
        <f t="shared" si="0"/>
        <v>2459013.6132564815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1087981.9540000001</v>
      </c>
      <c r="E53" s="80">
        <f t="shared" si="0"/>
        <v>1229387.9510000001</v>
      </c>
      <c r="F53" s="59">
        <f>F61+F68+F89</f>
        <v>1286385.755509201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1047637.9398099999</v>
      </c>
      <c r="E54" s="80">
        <f t="shared" si="0"/>
        <v>1139531.9892077197</v>
      </c>
      <c r="F54" s="59">
        <f t="shared" si="0"/>
        <v>1172627.8577472805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1393769.34519</v>
      </c>
      <c r="E55" s="80">
        <f t="shared" si="0"/>
        <v>992020.11641483707</v>
      </c>
      <c r="F55" s="59">
        <f t="shared" si="0"/>
        <v>1022259.8121623199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730902.49</v>
      </c>
      <c r="E56" s="80">
        <f>E64+E71+E92</f>
        <v>513770.05900000001</v>
      </c>
      <c r="F56" s="59">
        <f>F64+F71+F92</f>
        <v>529090.22016887297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662866.85519000015</v>
      </c>
      <c r="E57" s="80">
        <f>E65+E72+E93</f>
        <v>478250.05741483712</v>
      </c>
      <c r="F57" s="59">
        <f>F65+F72+F93</f>
        <v>493169.59199344704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364789.95500000002</v>
      </c>
      <c r="E59" s="80">
        <f>E60+E63</f>
        <v>385087.82625748299</v>
      </c>
      <c r="F59" s="59">
        <f>F60+F63</f>
        <v>400768.46262699499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246784.29548</v>
      </c>
      <c r="E60" s="80">
        <f>E61+E62</f>
        <v>300870.84409813368</v>
      </c>
      <c r="F60" s="59">
        <f>F61+F62</f>
        <v>312846.96098339843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62">
        <v>126349.288</v>
      </c>
      <c r="E61" s="62">
        <v>156304.54082491301</v>
      </c>
      <c r="F61" s="62">
        <v>164631.69402065617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62">
        <v>120435.00748</v>
      </c>
      <c r="E62" s="62">
        <v>144566.30327322066</v>
      </c>
      <c r="F62" s="62">
        <v>148215.26696274226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118005.65952</v>
      </c>
      <c r="E63" s="84">
        <f>E64+E65</f>
        <v>84216.982159349311</v>
      </c>
      <c r="F63" s="62">
        <f>F64+F65</f>
        <v>87921.501643596552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62">
        <v>60166.237999999998</v>
      </c>
      <c r="E64" s="84">
        <v>42257.95966857169</v>
      </c>
      <c r="F64" s="62">
        <v>43858.740387796468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62">
        <v>57839.421520000004</v>
      </c>
      <c r="E65" s="84">
        <v>41959.022490777614</v>
      </c>
      <c r="F65" s="62">
        <v>44062.761255800084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1827205.7590000001</v>
      </c>
      <c r="E66" s="84">
        <f>E67+E70</f>
        <v>1899879.3917212989</v>
      </c>
      <c r="F66" s="62">
        <f>F67+F70</f>
        <v>1967781.9290433284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1198121.8465700001</v>
      </c>
      <c r="E67" s="84">
        <f>E68+E69</f>
        <v>1390066.3988066493</v>
      </c>
      <c r="F67" s="62">
        <f>F68+F69</f>
        <v>1439802.5474719689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62">
        <v>611540.82900000003</v>
      </c>
      <c r="E68" s="84">
        <v>721145.45973355533</v>
      </c>
      <c r="F68" s="62">
        <v>750063.63954589039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62">
        <v>586581.01756999991</v>
      </c>
      <c r="E69" s="62">
        <v>668920.93907309382</v>
      </c>
      <c r="F69" s="62">
        <v>689738.90792607865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629083.91243000003</v>
      </c>
      <c r="E70" s="84">
        <f>E71+E72</f>
        <v>509812.99291464977</v>
      </c>
      <c r="F70" s="62">
        <f>F71+F72</f>
        <v>527979.38157135935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327326.962</v>
      </c>
      <c r="E71" s="84">
        <v>264280.71540115715</v>
      </c>
      <c r="F71" s="62">
        <v>275023.75301230483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301756.95043000008</v>
      </c>
      <c r="E72" s="84">
        <v>245532.27751349265</v>
      </c>
      <c r="F72" s="62">
        <v>252955.62855905452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84">
        <f t="shared" ref="E73:F73" si="2">E74+E77</f>
        <v>0</v>
      </c>
      <c r="F73" s="62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84">
        <f t="shared" ref="E74:F74" si="3">E75+E76</f>
        <v>0</v>
      </c>
      <c r="F74" s="62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62"/>
      <c r="E75" s="84"/>
      <c r="F75" s="62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62"/>
      <c r="E76" s="84"/>
      <c r="F76" s="62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84">
        <f t="shared" ref="E77:F77" si="4">E78+E79</f>
        <v>0</v>
      </c>
      <c r="F77" s="62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62"/>
      <c r="E78" s="84"/>
      <c r="F78" s="62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62"/>
      <c r="E79" s="84"/>
      <c r="F79" s="62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0</v>
      </c>
      <c r="E80" s="84">
        <f t="shared" ref="E80:F80" si="5">E81+E84</f>
        <v>0</v>
      </c>
      <c r="F80" s="62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0</v>
      </c>
      <c r="E81" s="84">
        <f t="shared" ref="E81:F81" si="6">E82+E83</f>
        <v>0</v>
      </c>
      <c r="F81" s="62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62"/>
      <c r="E82" s="84"/>
      <c r="F82" s="62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62"/>
      <c r="E83" s="84"/>
      <c r="F83" s="62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0</v>
      </c>
      <c r="E84" s="84">
        <f t="shared" ref="E84:F84" si="7">E85+E86</f>
        <v>0</v>
      </c>
      <c r="F84" s="62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62"/>
      <c r="E85" s="84"/>
      <c r="F85" s="62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62"/>
      <c r="E86" s="84"/>
      <c r="F86" s="62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1122481.1329999999</v>
      </c>
      <c r="E87" s="84">
        <f>E88+E91</f>
        <v>1075972.8386437751</v>
      </c>
      <c r="F87" s="62">
        <f>F88+F91</f>
        <v>1112723.0337484784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550469.73875999998</v>
      </c>
      <c r="E88" s="84">
        <f>E89+E90</f>
        <v>677982.69730293704</v>
      </c>
      <c r="F88" s="62">
        <f>F89+F90</f>
        <v>706364.1048011143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62">
        <v>281226.12300000002</v>
      </c>
      <c r="E89" s="84">
        <v>351937.95044153178</v>
      </c>
      <c r="F89" s="62">
        <v>371690.42194265453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62">
        <v>269243.61575999996</v>
      </c>
      <c r="E90" s="84">
        <v>326044.7468614052</v>
      </c>
      <c r="F90" s="62">
        <v>334673.68285845977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572011.39424000005</v>
      </c>
      <c r="E91" s="84">
        <f>E92+E93</f>
        <v>397990.14134083799</v>
      </c>
      <c r="F91" s="62">
        <f>F92+F93</f>
        <v>406358.92894736404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62">
        <v>304647.50400000002</v>
      </c>
      <c r="E92" s="84">
        <v>207231.38393027114</v>
      </c>
      <c r="F92" s="62">
        <v>210207.72676877159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62">
        <v>267363.89024000004</v>
      </c>
      <c r="E93" s="84">
        <v>190758.75741056685</v>
      </c>
      <c r="F93" s="62">
        <v>196151.20217859244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214912.39199999999</v>
      </c>
      <c r="E94" s="118">
        <f>E95+E98</f>
        <v>219370.40446675575</v>
      </c>
      <c r="F94" s="119">
        <f>F95+F98</f>
        <v>225196.34477163848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140244.01299999998</v>
      </c>
      <c r="E95" s="118">
        <f>E96+E97</f>
        <v>142599.62088159285</v>
      </c>
      <c r="F95" s="119">
        <f>F96+F97</f>
        <v>141215.7966234872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68865.713999999993</v>
      </c>
      <c r="E96" s="118">
        <v>70242.849000000002</v>
      </c>
      <c r="F96" s="119">
        <v>67205.310490799035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71378.298999999999</v>
      </c>
      <c r="E97" s="118">
        <v>72356.771881592867</v>
      </c>
      <c r="F97" s="119">
        <v>74010.486132688151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74668.379000000001</v>
      </c>
      <c r="E98" s="118">
        <f>E99+E100</f>
        <v>76770.783585162892</v>
      </c>
      <c r="F98" s="119">
        <f>F99+F100</f>
        <v>83980.548148151283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38761.786</v>
      </c>
      <c r="E99" s="118">
        <v>39376.741000000002</v>
      </c>
      <c r="F99" s="119">
        <v>46828.713831127134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35906.593000000001</v>
      </c>
      <c r="E100" s="118">
        <v>37394.04258516289</v>
      </c>
      <c r="F100" s="119">
        <v>37151.834317024157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D102+D105+D108+731.137+618.707</f>
        <v>5911001.8020000011</v>
      </c>
      <c r="E101" s="84">
        <f>E102+E105+E108</f>
        <v>5870191.7720000008</v>
      </c>
      <c r="F101" s="62">
        <f>F102+F105+F108</f>
        <v>5325550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4">
        <f t="shared" ref="D102:F102" si="8">D103+D104</f>
        <v>2996590.5840000007</v>
      </c>
      <c r="E102" s="84">
        <f t="shared" si="8"/>
        <v>2907526.8000852382</v>
      </c>
      <c r="F102" s="62">
        <f t="shared" si="8"/>
        <v>2884219.8018484716</v>
      </c>
    </row>
    <row r="103" spans="1:10" ht="23.25" customHeight="1" x14ac:dyDescent="0.2">
      <c r="A103" s="36"/>
      <c r="B103" s="30" t="s">
        <v>28</v>
      </c>
      <c r="C103" s="31" t="s">
        <v>125</v>
      </c>
      <c r="D103" s="62">
        <v>1525547.5680000002</v>
      </c>
      <c r="E103" s="84">
        <v>1515862.6213587024</v>
      </c>
      <c r="F103" s="62">
        <v>1503983.9765650672</v>
      </c>
    </row>
    <row r="104" spans="1:10" ht="21.75" customHeight="1" x14ac:dyDescent="0.2">
      <c r="A104" s="36"/>
      <c r="B104" s="30" t="s">
        <v>29</v>
      </c>
      <c r="C104" s="31" t="s">
        <v>125</v>
      </c>
      <c r="D104" s="62">
        <v>1471043.0160000003</v>
      </c>
      <c r="E104" s="84">
        <v>1391664.1787265358</v>
      </c>
      <c r="F104" s="62">
        <v>1380235.8252834044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62">
        <f t="shared" ref="D105:F105" si="9">D106+D107</f>
        <v>1945567.372</v>
      </c>
      <c r="E105" s="84">
        <f t="shared" si="9"/>
        <v>1996363.289409962</v>
      </c>
      <c r="F105" s="62">
        <f t="shared" si="9"/>
        <v>1734901.2412599446</v>
      </c>
    </row>
    <row r="106" spans="1:10" ht="24.75" customHeight="1" x14ac:dyDescent="0.2">
      <c r="A106" s="36"/>
      <c r="B106" s="30" t="s">
        <v>28</v>
      </c>
      <c r="C106" s="31" t="s">
        <v>125</v>
      </c>
      <c r="D106" s="62">
        <v>984592.90100000007</v>
      </c>
      <c r="E106" s="84">
        <v>1055580.6207053766</v>
      </c>
      <c r="F106" s="62">
        <v>895965.5156180138</v>
      </c>
    </row>
    <row r="107" spans="1:10" ht="22.5" customHeight="1" x14ac:dyDescent="0.2">
      <c r="A107" s="36"/>
      <c r="B107" s="30" t="s">
        <v>29</v>
      </c>
      <c r="C107" s="31" t="s">
        <v>125</v>
      </c>
      <c r="D107" s="62">
        <v>960974.4709999999</v>
      </c>
      <c r="E107" s="84">
        <v>940782.66870458541</v>
      </c>
      <c r="F107" s="62">
        <v>838935.72564193094</v>
      </c>
    </row>
    <row r="108" spans="1:10" ht="25.5" customHeight="1" x14ac:dyDescent="0.2">
      <c r="A108" s="36"/>
      <c r="B108" s="30" t="s">
        <v>61</v>
      </c>
      <c r="C108" s="31" t="s">
        <v>125</v>
      </c>
      <c r="D108" s="62">
        <f t="shared" ref="D108:F108" si="10">D109+D110</f>
        <v>967494.00199999998</v>
      </c>
      <c r="E108" s="84">
        <f t="shared" si="10"/>
        <v>966301.68250480038</v>
      </c>
      <c r="F108" s="62">
        <f t="shared" si="10"/>
        <v>706428.95689158351</v>
      </c>
    </row>
    <row r="109" spans="1:10" ht="26.25" customHeight="1" x14ac:dyDescent="0.2">
      <c r="A109" s="36"/>
      <c r="B109" s="30" t="s">
        <v>28</v>
      </c>
      <c r="C109" s="31" t="s">
        <v>125</v>
      </c>
      <c r="D109" s="62">
        <v>466504.75599999994</v>
      </c>
      <c r="E109" s="84">
        <v>517591.39979966008</v>
      </c>
      <c r="F109" s="62">
        <v>368270.50781691918</v>
      </c>
    </row>
    <row r="110" spans="1:10" ht="24" customHeight="1" x14ac:dyDescent="0.2">
      <c r="A110" s="36"/>
      <c r="B110" s="30" t="s">
        <v>29</v>
      </c>
      <c r="C110" s="31" t="s">
        <v>125</v>
      </c>
      <c r="D110" s="62">
        <v>500989.24600000004</v>
      </c>
      <c r="E110" s="84">
        <v>448710.2827051403</v>
      </c>
      <c r="F110" s="62">
        <v>338158.44907466439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11">D112+D113</f>
        <v>1895263.933</v>
      </c>
      <c r="E111" s="84">
        <f t="shared" si="11"/>
        <v>2035906.474999998</v>
      </c>
      <c r="F111" s="62">
        <f t="shared" si="11"/>
        <v>1892130</v>
      </c>
    </row>
    <row r="112" spans="1:10" ht="25.5" customHeight="1" x14ac:dyDescent="0.2">
      <c r="A112" s="36"/>
      <c r="B112" s="30" t="s">
        <v>64</v>
      </c>
      <c r="C112" s="31" t="s">
        <v>125</v>
      </c>
      <c r="D112" s="62">
        <v>910773.32</v>
      </c>
      <c r="E112" s="84">
        <v>1047043.2551362599</v>
      </c>
      <c r="F112" s="62">
        <v>935840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62">
        <v>984490.61300000001</v>
      </c>
      <c r="E113" s="84">
        <v>988863.21986373805</v>
      </c>
      <c r="F113" s="62">
        <v>956290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1092.0139999999999</v>
      </c>
      <c r="E114" s="82">
        <f t="shared" ref="E114:F114" si="12">E116+E117</f>
        <v>1124.133</v>
      </c>
      <c r="F114" s="63">
        <f t="shared" si="12"/>
        <v>1157.325</v>
      </c>
    </row>
    <row r="115" spans="1:8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100">
        <f>2.758+1060.1</f>
        <v>1062.8579999999999</v>
      </c>
      <c r="E116" s="65">
        <f>2.8+1091.903</f>
        <v>1094.703</v>
      </c>
      <c r="F116" s="65">
        <f>2.839+1124.66</f>
        <v>1127.499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29.155999999999995</v>
      </c>
      <c r="E117" s="101">
        <f t="shared" ref="E117:F117" si="13">E118+E119+E120</f>
        <v>29.43</v>
      </c>
      <c r="F117" s="101">
        <f t="shared" si="13"/>
        <v>29.826000000000001</v>
      </c>
    </row>
    <row r="118" spans="1:8" ht="22.5" customHeight="1" x14ac:dyDescent="0.2">
      <c r="A118" s="36"/>
      <c r="B118" s="30" t="s">
        <v>163</v>
      </c>
      <c r="C118" s="31" t="s">
        <v>70</v>
      </c>
      <c r="D118" s="82">
        <v>28.672999999999998</v>
      </c>
      <c r="E118" s="63">
        <v>28.936</v>
      </c>
      <c r="F118" s="63">
        <v>29.323</v>
      </c>
    </row>
    <row r="119" spans="1:8" ht="21" customHeight="1" x14ac:dyDescent="0.2">
      <c r="A119" s="36"/>
      <c r="B119" s="30" t="s">
        <v>60</v>
      </c>
      <c r="C119" s="31" t="s">
        <v>70</v>
      </c>
      <c r="D119" s="82">
        <v>0.46100000000000002</v>
      </c>
      <c r="E119" s="63">
        <v>0.47499999999999998</v>
      </c>
      <c r="F119" s="63">
        <v>0.48499999999999999</v>
      </c>
    </row>
    <row r="120" spans="1:8" ht="24" customHeight="1" x14ac:dyDescent="0.2">
      <c r="A120" s="36"/>
      <c r="B120" s="30" t="s">
        <v>61</v>
      </c>
      <c r="C120" s="31" t="s">
        <v>70</v>
      </c>
      <c r="D120" s="82">
        <v>2.1999999999999999E-2</v>
      </c>
      <c r="E120" s="63">
        <v>1.9E-2</v>
      </c>
      <c r="F120" s="63">
        <v>1.7999999999999999E-2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100">
        <v>0.05</v>
      </c>
      <c r="E121" s="65">
        <v>4.8000000000000001E-2</v>
      </c>
      <c r="F121" s="65">
        <v>4.8000000000000001E-2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1210908</v>
      </c>
      <c r="E122" s="84">
        <f>E124+E125</f>
        <v>1282133</v>
      </c>
      <c r="F122" s="84">
        <f>F124+F125</f>
        <v>1226948</v>
      </c>
      <c r="H122" s="56"/>
    </row>
    <row r="123" spans="1:8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1101909+2655+22854</f>
        <v>1127418</v>
      </c>
      <c r="E124" s="62">
        <v>1199339</v>
      </c>
      <c r="F124" s="62">
        <v>1142197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83490</v>
      </c>
      <c r="E125" s="62">
        <f t="shared" ref="E125:F125" si="14">E126+E127+E128</f>
        <v>82794</v>
      </c>
      <c r="F125" s="62">
        <f t="shared" si="14"/>
        <v>84751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81383</v>
      </c>
      <c r="E126" s="62">
        <v>80636</v>
      </c>
      <c r="F126" s="62">
        <v>82660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1704</v>
      </c>
      <c r="E127" s="62">
        <v>1762</v>
      </c>
      <c r="F127" s="62">
        <v>1717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403</v>
      </c>
      <c r="E128" s="62">
        <v>396</v>
      </c>
      <c r="F128" s="62">
        <v>374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62">
        <v>3148355.56</v>
      </c>
      <c r="E130" s="62">
        <v>3195580.9</v>
      </c>
      <c r="F130" s="62">
        <v>4506706</v>
      </c>
    </row>
    <row r="131" spans="1:8" ht="42.75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1271</v>
      </c>
      <c r="E132" s="62">
        <v>1297</v>
      </c>
      <c r="F132" s="62">
        <v>1295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58.228999999999999</v>
      </c>
      <c r="E133" s="103">
        <v>62.414000000000001</v>
      </c>
      <c r="F133" s="103">
        <v>64.915999999999997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368815.12</v>
      </c>
      <c r="E135" s="62">
        <v>306963.96000000002</v>
      </c>
      <c r="F135" s="62">
        <v>302176.96999999997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613844</v>
      </c>
      <c r="E136" s="62">
        <v>622267.28</v>
      </c>
      <c r="F136" s="62">
        <v>626420.14800000004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307155.8</v>
      </c>
      <c r="E137" s="62">
        <v>294229.26</v>
      </c>
      <c r="F137" s="62">
        <v>352957.32400000002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9.7560708803804866E-2</v>
      </c>
      <c r="E139" s="92">
        <f>E137/E130*100%</f>
        <v>9.2073794783289642E-2</v>
      </c>
      <c r="F139" s="92">
        <f>F137/F130*100%</f>
        <v>7.8318249293386349E-2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170</v>
      </c>
      <c r="E140" s="102" t="s">
        <v>175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63"/>
      <c r="B143" s="163"/>
      <c r="C143" s="163"/>
      <c r="D143" s="163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4" t="s">
        <v>112</v>
      </c>
      <c r="B154" s="164"/>
      <c r="C154" s="164"/>
      <c r="D154" s="164"/>
      <c r="E154" s="164"/>
      <c r="F154" s="1"/>
    </row>
    <row r="155" spans="1:9" ht="51.75" customHeight="1" thickBot="1" x14ac:dyDescent="0.25">
      <c r="A155" s="165" t="s">
        <v>16</v>
      </c>
      <c r="B155" s="165" t="s">
        <v>17</v>
      </c>
      <c r="C155" s="165" t="s">
        <v>18</v>
      </c>
      <c r="D155" s="157" t="s">
        <v>19</v>
      </c>
      <c r="E155" s="158"/>
      <c r="F155" s="157" t="s">
        <v>178</v>
      </c>
      <c r="G155" s="158"/>
      <c r="H155" s="159" t="s">
        <v>20</v>
      </c>
      <c r="I155" s="160"/>
    </row>
    <row r="156" spans="1:9" ht="32.25" customHeight="1" thickBot="1" x14ac:dyDescent="0.25">
      <c r="A156" s="166"/>
      <c r="B156" s="166"/>
      <c r="C156" s="166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396.78</v>
      </c>
      <c r="E159" s="28">
        <v>414.02</v>
      </c>
      <c r="F159" s="28">
        <v>414.02</v>
      </c>
      <c r="G159" s="28">
        <v>425.89</v>
      </c>
      <c r="H159" s="28">
        <f>354.91*1.2</f>
        <v>425.892</v>
      </c>
      <c r="I159" s="89">
        <f>694.82*1.2</f>
        <v>833.78399999999999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205.05</v>
      </c>
      <c r="E160" s="27">
        <v>205.05</v>
      </c>
      <c r="F160" s="27">
        <v>205.05</v>
      </c>
      <c r="G160" s="27">
        <v>271.23</v>
      </c>
      <c r="H160" s="27">
        <v>271.23</v>
      </c>
      <c r="I160" s="89">
        <v>426.48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0"/>
      <c r="F161" s="70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321.8</v>
      </c>
      <c r="E162" s="72">
        <v>334.16</v>
      </c>
      <c r="F162" s="72">
        <v>308.37</v>
      </c>
      <c r="G162" s="72">
        <v>308.37</v>
      </c>
      <c r="H162" s="72">
        <v>308.37</v>
      </c>
      <c r="I162" s="72">
        <v>541.05999999999995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217.61</v>
      </c>
      <c r="E163" s="72">
        <v>221.32</v>
      </c>
      <c r="F163" s="72">
        <v>209.69</v>
      </c>
      <c r="G163" s="72">
        <v>211.83</v>
      </c>
      <c r="H163" s="72">
        <v>211.83</v>
      </c>
      <c r="I163" s="72">
        <v>417.62</v>
      </c>
    </row>
    <row r="164" spans="1:9" ht="23.25" customHeight="1" thickBot="1" x14ac:dyDescent="0.25">
      <c r="A164" s="22"/>
      <c r="B164" s="20" t="s">
        <v>61</v>
      </c>
      <c r="C164" s="114" t="s">
        <v>165</v>
      </c>
      <c r="D164" s="73">
        <v>167.49</v>
      </c>
      <c r="E164" s="105">
        <v>152.30000000000001</v>
      </c>
      <c r="F164" s="73">
        <v>145.49</v>
      </c>
      <c r="G164" s="105">
        <v>151.1</v>
      </c>
      <c r="H164" s="105">
        <v>151.1</v>
      </c>
      <c r="I164" s="105">
        <v>352.48</v>
      </c>
    </row>
    <row r="165" spans="1:9" x14ac:dyDescent="0.2">
      <c r="A165" s="161"/>
      <c r="B165" s="161"/>
      <c r="C165" s="161"/>
      <c r="D165" s="161"/>
      <c r="E165" s="161"/>
      <c r="F165" s="161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A6:E6"/>
    <mergeCell ref="A1:E1"/>
    <mergeCell ref="A2:E2"/>
    <mergeCell ref="A3:E3"/>
    <mergeCell ref="A4:E4"/>
    <mergeCell ref="A5:E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48" workbookViewId="0">
      <selection activeCell="B151" sqref="B151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7" t="s">
        <v>120</v>
      </c>
      <c r="B1" s="167"/>
      <c r="C1" s="167"/>
      <c r="D1" s="167"/>
      <c r="E1" s="167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160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1" t="s">
        <v>152</v>
      </c>
      <c r="B5" s="161"/>
      <c r="C5" s="161"/>
      <c r="D5" s="161"/>
      <c r="E5" s="161"/>
      <c r="F5" s="1"/>
    </row>
    <row r="6" spans="1:6" x14ac:dyDescent="0.2">
      <c r="A6" s="161" t="s">
        <v>123</v>
      </c>
      <c r="B6" s="161"/>
      <c r="C6" s="161"/>
      <c r="D6" s="161"/>
      <c r="E6" s="161"/>
      <c r="F6" s="1"/>
    </row>
    <row r="7" spans="1:6" ht="22.5" customHeight="1" x14ac:dyDescent="0.2">
      <c r="A7" s="161" t="s">
        <v>153</v>
      </c>
      <c r="B7" s="161"/>
      <c r="C7" s="161"/>
      <c r="D7" s="161"/>
      <c r="E7" s="161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1" t="s">
        <v>4</v>
      </c>
      <c r="B18" s="161"/>
      <c r="C18" s="2" t="s">
        <v>154</v>
      </c>
    </row>
    <row r="19" spans="1:3" x14ac:dyDescent="0.2">
      <c r="A19" s="5"/>
    </row>
    <row r="20" spans="1:3" x14ac:dyDescent="0.2">
      <c r="A20" s="161" t="s">
        <v>5</v>
      </c>
      <c r="B20" s="161"/>
      <c r="C20" s="3" t="s">
        <v>150</v>
      </c>
    </row>
    <row r="21" spans="1:3" x14ac:dyDescent="0.2">
      <c r="A21" s="5"/>
    </row>
    <row r="22" spans="1:3" x14ac:dyDescent="0.2">
      <c r="A22" s="161" t="s">
        <v>6</v>
      </c>
      <c r="B22" s="161"/>
      <c r="C22" s="2" t="s">
        <v>130</v>
      </c>
    </row>
    <row r="23" spans="1:3" x14ac:dyDescent="0.2">
      <c r="A23" s="5"/>
    </row>
    <row r="24" spans="1:3" x14ac:dyDescent="0.2">
      <c r="A24" s="161" t="s">
        <v>7</v>
      </c>
      <c r="B24" s="161"/>
      <c r="C24" s="2" t="s">
        <v>130</v>
      </c>
    </row>
    <row r="25" spans="1:3" x14ac:dyDescent="0.2">
      <c r="A25" s="5"/>
    </row>
    <row r="26" spans="1:3" x14ac:dyDescent="0.2">
      <c r="A26" s="161" t="s">
        <v>8</v>
      </c>
      <c r="B26" s="161"/>
      <c r="C26" s="4">
        <v>2466132221</v>
      </c>
    </row>
    <row r="27" spans="1:3" x14ac:dyDescent="0.2">
      <c r="A27" s="5"/>
    </row>
    <row r="28" spans="1:3" x14ac:dyDescent="0.2">
      <c r="A28" s="161" t="s">
        <v>9</v>
      </c>
      <c r="B28" s="161"/>
      <c r="C28" s="3">
        <v>246750001</v>
      </c>
    </row>
    <row r="29" spans="1:3" x14ac:dyDescent="0.2">
      <c r="A29" s="5"/>
    </row>
    <row r="30" spans="1:3" x14ac:dyDescent="0.2">
      <c r="A30" s="161" t="s">
        <v>10</v>
      </c>
      <c r="B30" s="161"/>
      <c r="C30" s="2" t="s">
        <v>129</v>
      </c>
    </row>
    <row r="31" spans="1:3" x14ac:dyDescent="0.2">
      <c r="A31" s="5"/>
    </row>
    <row r="32" spans="1:3" ht="15" x14ac:dyDescent="0.25">
      <c r="A32" s="161" t="s">
        <v>11</v>
      </c>
      <c r="B32" s="161"/>
      <c r="C32" s="10" t="s">
        <v>136</v>
      </c>
    </row>
    <row r="33" spans="1:8" x14ac:dyDescent="0.2">
      <c r="A33" s="5"/>
    </row>
    <row r="34" spans="1:8" x14ac:dyDescent="0.2">
      <c r="A34" s="161" t="s">
        <v>12</v>
      </c>
      <c r="B34" s="161"/>
      <c r="C34" s="2" t="s">
        <v>131</v>
      </c>
    </row>
    <row r="35" spans="1:8" x14ac:dyDescent="0.2">
      <c r="A35" s="5"/>
    </row>
    <row r="36" spans="1:8" x14ac:dyDescent="0.2">
      <c r="A36" s="161" t="s">
        <v>13</v>
      </c>
      <c r="B36" s="161"/>
      <c r="C36" s="2" t="s">
        <v>135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94" t="s">
        <v>18</v>
      </c>
      <c r="D48" s="58" t="s">
        <v>169</v>
      </c>
      <c r="E48" s="93" t="s">
        <v>162</v>
      </c>
      <c r="F48" s="58" t="s">
        <v>161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12611078.656000001</v>
      </c>
      <c r="E49" s="80">
        <f>E51+E101+E111</f>
        <v>11355976.312999999</v>
      </c>
      <c r="F49" s="96">
        <f>F51+F101+F111</f>
        <v>11325176.153999999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3529865.93</v>
      </c>
      <c r="E51" s="80">
        <f>E52+E55+E94</f>
        <v>3516162.9529999993</v>
      </c>
      <c r="F51" s="59">
        <f>F52+F55+F94</f>
        <v>3700000.0000000005</v>
      </c>
      <c r="G51" s="98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2110286.7119999998</v>
      </c>
      <c r="E52" s="80">
        <f t="shared" ref="E52:F55" si="0">E60+E67+E88</f>
        <v>2333124.9619999994</v>
      </c>
      <c r="F52" s="59">
        <f t="shared" si="0"/>
        <v>2456658.6220000004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1041000.9839999999</v>
      </c>
      <c r="E53" s="80">
        <f t="shared" si="0"/>
        <v>1197397.6510000001</v>
      </c>
      <c r="F53" s="59">
        <f t="shared" si="0"/>
        <v>1275807.0329999998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1069285.7280000001</v>
      </c>
      <c r="E54" s="80">
        <f t="shared" si="0"/>
        <v>1135727.3109999998</v>
      </c>
      <c r="F54" s="59">
        <f t="shared" si="0"/>
        <v>1180851.5890000002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1419579.2180000003</v>
      </c>
      <c r="E55" s="80">
        <f t="shared" si="0"/>
        <v>971190.77300000004</v>
      </c>
      <c r="F55" s="59">
        <f t="shared" si="0"/>
        <v>1016176.183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795392.63800000004</v>
      </c>
      <c r="E56" s="80">
        <f>E64+E71+E92</f>
        <v>496082.89500000008</v>
      </c>
      <c r="F56" s="59">
        <f>F64+F71+F92</f>
        <v>527786.91899999999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624186.58000000007</v>
      </c>
      <c r="E57" s="80">
        <f>E65+E72+E93</f>
        <v>475107.87799999997</v>
      </c>
      <c r="F57" s="59">
        <f>F65+F72+F93</f>
        <v>488389.26399999997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385992.49599999998</v>
      </c>
      <c r="E59" s="80">
        <f>E60+E63</f>
        <v>406739.78949046554</v>
      </c>
      <c r="F59" s="59">
        <f>F60+F63</f>
        <v>430676.68400000001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260441.08199999999</v>
      </c>
      <c r="E60" s="80">
        <f>E61+E62</f>
        <v>319298.4863088798</v>
      </c>
      <c r="F60" s="59">
        <f>F61+F62</f>
        <v>330765.799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128719.656</v>
      </c>
      <c r="E61" s="80">
        <v>164102.54828401931</v>
      </c>
      <c r="F61" s="59">
        <v>173528.54199999999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131721.42600000001</v>
      </c>
      <c r="E62" s="80">
        <v>155195.93802486046</v>
      </c>
      <c r="F62" s="59">
        <v>157237.25700000001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125551.41399999999</v>
      </c>
      <c r="E63" s="80">
        <f>E64+E65</f>
        <v>87441.30318158571</v>
      </c>
      <c r="F63" s="59">
        <f>F64+F65</f>
        <v>99910.885000000009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71589.803</v>
      </c>
      <c r="E64" s="80">
        <v>43456.311673541357</v>
      </c>
      <c r="F64" s="59">
        <v>50816.611000000004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53961.610999999997</v>
      </c>
      <c r="E65" s="80">
        <v>43984.991508044346</v>
      </c>
      <c r="F65" s="59">
        <v>49094.274000000005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1809983.7410000002</v>
      </c>
      <c r="E66" s="80">
        <f>E67+E70</f>
        <v>1868006.9356564344</v>
      </c>
      <c r="F66" s="59">
        <f>F67+F70</f>
        <v>1935939.5260000001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1162976.398</v>
      </c>
      <c r="E67" s="80">
        <f>E68+E69</f>
        <v>1312440.4177414449</v>
      </c>
      <c r="F67" s="59">
        <f>F68+F69</f>
        <v>1416408.2450000001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f>564446.97+1374.45</f>
        <v>565821.41999999993</v>
      </c>
      <c r="E68" s="80">
        <v>671538.05779414531</v>
      </c>
      <c r="F68" s="59">
        <v>730041.38599999994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f>596040.983+1113.995</f>
        <v>597154.978</v>
      </c>
      <c r="E69" s="59">
        <v>640902.3599472997</v>
      </c>
      <c r="F69" s="59">
        <v>686366.85900000005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647007.34300000011</v>
      </c>
      <c r="E70" s="80">
        <f>E71+E72</f>
        <v>555566.5179149895</v>
      </c>
      <c r="F70" s="59">
        <f>F71+F72</f>
        <v>519531.28100000002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f>367637.322+605.791</f>
        <v>368243.11300000001</v>
      </c>
      <c r="E71" s="80">
        <v>282489.36076025071</v>
      </c>
      <c r="F71" s="59">
        <v>269484.95500000002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f>278416.313+347.917</f>
        <v>278764.23000000004</v>
      </c>
      <c r="E72" s="80">
        <v>273077.15715473873</v>
      </c>
      <c r="F72" s="59">
        <v>250046.326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:F73" si="2">E74+E77</f>
        <v>0</v>
      </c>
      <c r="F73" s="59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:F74" si="3">E75+E76</f>
        <v>0</v>
      </c>
      <c r="F74" s="59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:F77" si="4">E78+E79</f>
        <v>0</v>
      </c>
      <c r="F77" s="59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:F80" si="5">E81+E84</f>
        <v>0</v>
      </c>
      <c r="F80" s="59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:F81" si="6">E82+E83</f>
        <v>0</v>
      </c>
      <c r="F81" s="59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:F84" si="7">E85+E86</f>
        <v>0</v>
      </c>
      <c r="F84" s="59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1111784.8260000001</v>
      </c>
      <c r="E87" s="80">
        <f>E88+E91</f>
        <v>1029569.0098530999</v>
      </c>
      <c r="F87" s="59">
        <f>F88+F91</f>
        <v>1106218.595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553173.15800000005</v>
      </c>
      <c r="E88" s="80">
        <f>E89+E90</f>
        <v>701386.05794967501</v>
      </c>
      <c r="F88" s="59">
        <f>F89+F90</f>
        <v>709484.57799999998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v>281663.68800000002</v>
      </c>
      <c r="E89" s="80">
        <v>361757.04492183542</v>
      </c>
      <c r="F89" s="59">
        <v>372237.10499999998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271509.47000000003</v>
      </c>
      <c r="E90" s="80">
        <v>339629.01302783965</v>
      </c>
      <c r="F90" s="59">
        <v>337247.473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0">
        <f>D92+D93</f>
        <v>558611.66800000006</v>
      </c>
      <c r="E91" s="80">
        <f>E92+E93</f>
        <v>328182.95190342487</v>
      </c>
      <c r="F91" s="59">
        <f>F92+F93</f>
        <v>396734.01699999999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v>310928.81</v>
      </c>
      <c r="E92" s="80">
        <v>170137.22256620799</v>
      </c>
      <c r="F92" s="59">
        <v>207485.353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247682.85800000001</v>
      </c>
      <c r="E93" s="80">
        <v>158045.72933721688</v>
      </c>
      <c r="F93" s="59">
        <v>189248.66400000002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6">
        <f>D95+D98</f>
        <v>222104.867</v>
      </c>
      <c r="E94" s="76">
        <f>E95+E98</f>
        <v>211847.21799999999</v>
      </c>
      <c r="F94" s="77">
        <f>F95+F98</f>
        <v>227165.19499999998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133696.07399999999</v>
      </c>
      <c r="E95" s="76">
        <f>E96+E97</f>
        <v>133528.99100000001</v>
      </c>
      <c r="F95" s="77">
        <f>F96+F97</f>
        <v>138768.09499999997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64796.22</v>
      </c>
      <c r="E96" s="76">
        <v>64277.267</v>
      </c>
      <c r="F96" s="77">
        <v>67230.244999999995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68899.853999999992</v>
      </c>
      <c r="E97" s="76">
        <v>69251.724000000002</v>
      </c>
      <c r="F97" s="77">
        <v>71537.849999999991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88408.793000000005</v>
      </c>
      <c r="E98" s="76">
        <f>E99+E100</f>
        <v>78318.226999999999</v>
      </c>
      <c r="F98" s="40">
        <f>F99+F100</f>
        <v>88397.1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44630.911999999997</v>
      </c>
      <c r="E99" s="76">
        <v>40766.904999999999</v>
      </c>
      <c r="F99" s="77">
        <v>43875.8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43777.881000000001</v>
      </c>
      <c r="E100" s="76">
        <v>37551.322</v>
      </c>
      <c r="F100" s="77">
        <v>44521.3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0">
        <f>D102+D105+D108+1963.691+304.301</f>
        <v>6741270.2010000004</v>
      </c>
      <c r="E101" s="80">
        <f>E102+E105+E108</f>
        <v>5766897.0829999996</v>
      </c>
      <c r="F101" s="59">
        <f>F102+F105+F108</f>
        <v>5552259.8770000003</v>
      </c>
      <c r="G101" s="87"/>
    </row>
    <row r="102" spans="1:10" ht="24.75" customHeight="1" x14ac:dyDescent="0.2">
      <c r="A102" s="36"/>
      <c r="B102" s="30" t="s">
        <v>163</v>
      </c>
      <c r="C102" s="31" t="s">
        <v>125</v>
      </c>
      <c r="D102" s="80">
        <f t="shared" ref="D102" si="8">D103+D104</f>
        <v>3305184.415</v>
      </c>
      <c r="E102" s="80">
        <f t="shared" ref="E102:F102" si="9">E103+E104</f>
        <v>2902120.839158549</v>
      </c>
      <c r="F102" s="59">
        <f t="shared" si="9"/>
        <v>2786275.2923688535</v>
      </c>
    </row>
    <row r="103" spans="1:10" ht="23.25" customHeight="1" x14ac:dyDescent="0.2">
      <c r="A103" s="36"/>
      <c r="B103" s="30" t="s">
        <v>28</v>
      </c>
      <c r="C103" s="31" t="s">
        <v>125</v>
      </c>
      <c r="D103" s="59">
        <v>1733646.034</v>
      </c>
      <c r="E103" s="80">
        <v>1490853.5524271</v>
      </c>
      <c r="F103" s="59">
        <v>1457189.5116806468</v>
      </c>
    </row>
    <row r="104" spans="1:10" ht="21.75" customHeight="1" x14ac:dyDescent="0.2">
      <c r="A104" s="36"/>
      <c r="B104" s="30" t="s">
        <v>29</v>
      </c>
      <c r="C104" s="31" t="s">
        <v>125</v>
      </c>
      <c r="D104" s="59">
        <v>1571538.3810000001</v>
      </c>
      <c r="E104" s="80">
        <v>1411267.286731449</v>
      </c>
      <c r="F104" s="59">
        <v>1329085.7806882064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59">
        <f t="shared" ref="D105:F105" si="10">D106+D107</f>
        <v>2321559.5520000001</v>
      </c>
      <c r="E105" s="80">
        <f t="shared" si="10"/>
        <v>1991469.8973653531</v>
      </c>
      <c r="F105" s="59">
        <f t="shared" si="10"/>
        <v>1929922.4716069964</v>
      </c>
    </row>
    <row r="106" spans="1:10" ht="24.75" customHeight="1" x14ac:dyDescent="0.2">
      <c r="A106" s="36"/>
      <c r="B106" s="30" t="s">
        <v>28</v>
      </c>
      <c r="C106" s="31" t="s">
        <v>125</v>
      </c>
      <c r="D106" s="59">
        <v>1231134</v>
      </c>
      <c r="E106" s="80">
        <v>1027260.6143569644</v>
      </c>
      <c r="F106" s="59">
        <v>986051.97647053038</v>
      </c>
    </row>
    <row r="107" spans="1:10" ht="22.5" customHeight="1" x14ac:dyDescent="0.2">
      <c r="A107" s="36"/>
      <c r="B107" s="30" t="s">
        <v>29</v>
      </c>
      <c r="C107" s="31" t="s">
        <v>125</v>
      </c>
      <c r="D107" s="59">
        <v>1090425.5520000001</v>
      </c>
      <c r="E107" s="80">
        <v>964209.28300838871</v>
      </c>
      <c r="F107" s="59">
        <v>943870.49513646599</v>
      </c>
    </row>
    <row r="108" spans="1:10" ht="25.5" customHeight="1" x14ac:dyDescent="0.2">
      <c r="A108" s="36"/>
      <c r="B108" s="30" t="s">
        <v>61</v>
      </c>
      <c r="C108" s="31" t="s">
        <v>125</v>
      </c>
      <c r="D108" s="59">
        <f t="shared" ref="D108:F108" si="11">D109+D110</f>
        <v>1112258.2420000001</v>
      </c>
      <c r="E108" s="80">
        <f t="shared" si="11"/>
        <v>873306.34647609724</v>
      </c>
      <c r="F108" s="59">
        <f t="shared" si="11"/>
        <v>836062.11302415049</v>
      </c>
    </row>
    <row r="109" spans="1:10" ht="26.25" customHeight="1" x14ac:dyDescent="0.2">
      <c r="A109" s="36"/>
      <c r="B109" s="30" t="s">
        <v>28</v>
      </c>
      <c r="C109" s="31" t="s">
        <v>125</v>
      </c>
      <c r="D109" s="59">
        <v>649244.85100000002</v>
      </c>
      <c r="E109" s="80">
        <v>471352.13221593545</v>
      </c>
      <c r="F109" s="59">
        <v>443573.08884882263</v>
      </c>
    </row>
    <row r="110" spans="1:10" ht="24" customHeight="1" x14ac:dyDescent="0.2">
      <c r="A110" s="36"/>
      <c r="B110" s="30" t="s">
        <v>29</v>
      </c>
      <c r="C110" s="31" t="s">
        <v>125</v>
      </c>
      <c r="D110" s="59">
        <v>463013.39099999995</v>
      </c>
      <c r="E110" s="80">
        <v>401954.2142601618</v>
      </c>
      <c r="F110" s="59">
        <v>392489.0241753278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0">
        <f t="shared" ref="D111:F111" si="12">D112+D113</f>
        <v>2339942.5250000004</v>
      </c>
      <c r="E111" s="80">
        <f t="shared" si="12"/>
        <v>2072916.277</v>
      </c>
      <c r="F111" s="59">
        <f t="shared" si="12"/>
        <v>2072916.2769999998</v>
      </c>
    </row>
    <row r="112" spans="1:10" ht="25.5" customHeight="1" x14ac:dyDescent="0.2">
      <c r="A112" s="36"/>
      <c r="B112" s="30" t="s">
        <v>64</v>
      </c>
      <c r="C112" s="31" t="s">
        <v>125</v>
      </c>
      <c r="D112" s="59">
        <v>1225413.327</v>
      </c>
      <c r="E112" s="80">
        <v>1059906.8260000001</v>
      </c>
      <c r="F112" s="59">
        <v>1059906.8259999999</v>
      </c>
      <c r="J112" s="56"/>
    </row>
    <row r="113" spans="1:7" ht="25.5" customHeight="1" x14ac:dyDescent="0.2">
      <c r="A113" s="36"/>
      <c r="B113" s="30" t="s">
        <v>65</v>
      </c>
      <c r="C113" s="31" t="s">
        <v>125</v>
      </c>
      <c r="D113" s="59">
        <v>1114529.1980000001</v>
      </c>
      <c r="E113" s="80">
        <v>1013009.4509999999</v>
      </c>
      <c r="F113" s="59">
        <v>1013009.451</v>
      </c>
      <c r="G113" s="78"/>
    </row>
    <row r="114" spans="1:7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1046.3630000000001</v>
      </c>
      <c r="E114" s="82">
        <f t="shared" ref="E114:F114" si="13">E116+E117</f>
        <v>1066.914</v>
      </c>
      <c r="F114" s="63">
        <f t="shared" si="13"/>
        <v>1087.4670000000001</v>
      </c>
    </row>
    <row r="115" spans="1:7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7" ht="32.25" customHeight="1" x14ac:dyDescent="0.2">
      <c r="A116" s="27" t="s">
        <v>68</v>
      </c>
      <c r="B116" s="30" t="s">
        <v>69</v>
      </c>
      <c r="C116" s="31" t="s">
        <v>70</v>
      </c>
      <c r="D116" s="65">
        <f>2.722+1015</f>
        <v>1017.722</v>
      </c>
      <c r="E116" s="100">
        <f>2.758+1035</f>
        <v>1037.758</v>
      </c>
      <c r="F116" s="65">
        <f>2.794+1055</f>
        <v>1057.7940000000001</v>
      </c>
    </row>
    <row r="117" spans="1:7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28.640999999999998</v>
      </c>
      <c r="E117" s="101">
        <f t="shared" ref="E117:F117" si="14">E118+E119+E120</f>
        <v>29.155999999999995</v>
      </c>
      <c r="F117" s="101">
        <f t="shared" si="14"/>
        <v>29.672999999999998</v>
      </c>
    </row>
    <row r="118" spans="1:7" ht="22.5" customHeight="1" x14ac:dyDescent="0.2">
      <c r="A118" s="36"/>
      <c r="B118" s="30" t="s">
        <v>163</v>
      </c>
      <c r="C118" s="31" t="s">
        <v>70</v>
      </c>
      <c r="D118" s="82">
        <v>28.161999999999999</v>
      </c>
      <c r="E118" s="82">
        <v>28.672999999999998</v>
      </c>
      <c r="F118" s="63">
        <v>29.184000000000001</v>
      </c>
    </row>
    <row r="119" spans="1:7" ht="21" customHeight="1" x14ac:dyDescent="0.2">
      <c r="A119" s="36"/>
      <c r="B119" s="30" t="s">
        <v>60</v>
      </c>
      <c r="C119" s="31" t="s">
        <v>70</v>
      </c>
      <c r="D119" s="82">
        <v>0.45500000000000002</v>
      </c>
      <c r="E119" s="82">
        <v>0.46100000000000002</v>
      </c>
      <c r="F119" s="63">
        <v>0.46700000000000003</v>
      </c>
    </row>
    <row r="120" spans="1:7" ht="24" customHeight="1" x14ac:dyDescent="0.2">
      <c r="A120" s="36"/>
      <c r="B120" s="30" t="s">
        <v>61</v>
      </c>
      <c r="C120" s="31" t="s">
        <v>70</v>
      </c>
      <c r="D120" s="82">
        <v>2.4E-2</v>
      </c>
      <c r="E120" s="82">
        <v>2.1999999999999999E-2</v>
      </c>
      <c r="F120" s="63">
        <v>2.1999999999999999E-2</v>
      </c>
    </row>
    <row r="121" spans="1:7" ht="62.25" customHeight="1" x14ac:dyDescent="0.2">
      <c r="A121" s="27" t="s">
        <v>73</v>
      </c>
      <c r="B121" s="30" t="s">
        <v>74</v>
      </c>
      <c r="C121" s="31" t="s">
        <v>70</v>
      </c>
      <c r="D121" s="65">
        <v>4.8000000000000001E-2</v>
      </c>
      <c r="E121" s="82">
        <v>4.7E-2</v>
      </c>
      <c r="F121" s="63">
        <v>4.7E-2</v>
      </c>
    </row>
    <row r="122" spans="1:7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1159689</v>
      </c>
      <c r="E122" s="84">
        <f>E124+E125</f>
        <v>1182595</v>
      </c>
      <c r="F122" s="62">
        <f>F124+F125</f>
        <v>1207654</v>
      </c>
    </row>
    <row r="123" spans="1:7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7" ht="33" customHeight="1" x14ac:dyDescent="0.2">
      <c r="A124" s="27" t="s">
        <v>77</v>
      </c>
      <c r="B124" s="15" t="s">
        <v>78</v>
      </c>
      <c r="C124" s="31" t="s">
        <v>79</v>
      </c>
      <c r="D124" s="62">
        <f>1058080+18289</f>
        <v>1076369</v>
      </c>
      <c r="E124" s="84">
        <f>1079241+19545</f>
        <v>1098786</v>
      </c>
      <c r="F124" s="62">
        <f>1100825+22757</f>
        <v>1123582</v>
      </c>
    </row>
    <row r="125" spans="1:7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83320</v>
      </c>
      <c r="E125" s="62">
        <f t="shared" ref="E125:F125" si="15">E126+E127+E128</f>
        <v>83809</v>
      </c>
      <c r="F125" s="62">
        <f t="shared" si="15"/>
        <v>84072</v>
      </c>
    </row>
    <row r="126" spans="1:7" ht="26.25" customHeight="1" x14ac:dyDescent="0.2">
      <c r="A126" s="36"/>
      <c r="B126" s="38" t="s">
        <v>163</v>
      </c>
      <c r="C126" s="18" t="s">
        <v>79</v>
      </c>
      <c r="D126" s="62">
        <v>80848</v>
      </c>
      <c r="E126" s="84">
        <v>81337</v>
      </c>
      <c r="F126" s="62">
        <v>81600</v>
      </c>
    </row>
    <row r="127" spans="1:7" ht="26.25" customHeight="1" x14ac:dyDescent="0.2">
      <c r="A127" s="36"/>
      <c r="B127" s="38" t="s">
        <v>60</v>
      </c>
      <c r="C127" s="18" t="s">
        <v>79</v>
      </c>
      <c r="D127" s="62">
        <v>2054</v>
      </c>
      <c r="E127" s="84">
        <v>2054</v>
      </c>
      <c r="F127" s="62">
        <v>2054</v>
      </c>
    </row>
    <row r="128" spans="1:7" ht="25.5" customHeight="1" x14ac:dyDescent="0.2">
      <c r="A128" s="36"/>
      <c r="B128" s="38" t="s">
        <v>61</v>
      </c>
      <c r="C128" s="18" t="s">
        <v>79</v>
      </c>
      <c r="D128" s="62">
        <v>418</v>
      </c>
      <c r="E128" s="84">
        <v>418</v>
      </c>
      <c r="F128" s="62">
        <v>418</v>
      </c>
    </row>
    <row r="129" spans="1:7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7" ht="32.25" customHeight="1" x14ac:dyDescent="0.2">
      <c r="A130" s="27" t="s">
        <v>84</v>
      </c>
      <c r="B130" s="30" t="s">
        <v>85</v>
      </c>
      <c r="C130" s="31" t="s">
        <v>86</v>
      </c>
      <c r="D130" s="84">
        <v>2086413.22</v>
      </c>
      <c r="E130" s="84">
        <v>2698142.97</v>
      </c>
      <c r="F130" s="62">
        <v>5910923.8065223722</v>
      </c>
    </row>
    <row r="131" spans="1:7" ht="42.75" x14ac:dyDescent="0.2">
      <c r="A131" s="27" t="s">
        <v>87</v>
      </c>
      <c r="B131" s="15" t="s">
        <v>88</v>
      </c>
      <c r="C131" s="16"/>
      <c r="D131" s="66"/>
      <c r="E131" s="85"/>
      <c r="F131" s="66"/>
    </row>
    <row r="132" spans="1:7" ht="28.5" x14ac:dyDescent="0.2">
      <c r="A132" s="27" t="s">
        <v>89</v>
      </c>
      <c r="B132" s="30" t="s">
        <v>90</v>
      </c>
      <c r="C132" s="31" t="s">
        <v>91</v>
      </c>
      <c r="D132" s="84">
        <v>1092</v>
      </c>
      <c r="E132" s="84">
        <v>1155</v>
      </c>
      <c r="F132" s="62">
        <v>1155</v>
      </c>
    </row>
    <row r="133" spans="1:7" ht="48" customHeight="1" x14ac:dyDescent="0.2">
      <c r="A133" s="40" t="s">
        <v>92</v>
      </c>
      <c r="B133" s="30" t="s">
        <v>93</v>
      </c>
      <c r="C133" s="31" t="s">
        <v>94</v>
      </c>
      <c r="D133" s="103">
        <v>56.5</v>
      </c>
      <c r="E133" s="104">
        <v>58.3</v>
      </c>
      <c r="F133" s="103">
        <v>60.4</v>
      </c>
    </row>
    <row r="134" spans="1:7" ht="47.25" customHeight="1" x14ac:dyDescent="0.2">
      <c r="A134" s="27" t="s">
        <v>95</v>
      </c>
      <c r="B134" s="15" t="s">
        <v>96</v>
      </c>
      <c r="C134" s="16"/>
      <c r="D134" s="62" t="s">
        <v>137</v>
      </c>
      <c r="E134" s="84" t="s">
        <v>137</v>
      </c>
      <c r="F134" s="62" t="s">
        <v>137</v>
      </c>
    </row>
    <row r="135" spans="1:7" ht="31.5" customHeight="1" x14ac:dyDescent="0.2">
      <c r="A135" s="27" t="s">
        <v>97</v>
      </c>
      <c r="B135" s="30" t="s">
        <v>98</v>
      </c>
      <c r="C135" s="31" t="s">
        <v>86</v>
      </c>
      <c r="D135" s="62">
        <v>437487.48</v>
      </c>
      <c r="E135" s="84">
        <v>376888.6</v>
      </c>
      <c r="F135" s="62">
        <v>381894.78899999999</v>
      </c>
    </row>
    <row r="136" spans="1:7" ht="32.25" customHeight="1" x14ac:dyDescent="0.2">
      <c r="A136" s="27" t="s">
        <v>99</v>
      </c>
      <c r="B136" s="30" t="s">
        <v>100</v>
      </c>
      <c r="C136" s="31" t="s">
        <v>86</v>
      </c>
      <c r="D136" s="62">
        <v>598717.43999999994</v>
      </c>
      <c r="E136" s="84">
        <v>570767.18000000005</v>
      </c>
      <c r="F136" s="62">
        <v>602594.37</v>
      </c>
    </row>
    <row r="137" spans="1:7" ht="33.75" customHeight="1" x14ac:dyDescent="0.2">
      <c r="A137" s="27" t="s">
        <v>101</v>
      </c>
      <c r="B137" s="30" t="s">
        <v>102</v>
      </c>
      <c r="C137" s="31" t="s">
        <v>86</v>
      </c>
      <c r="D137" s="62">
        <v>274452.94</v>
      </c>
      <c r="E137" s="84">
        <v>301024.96000000002</v>
      </c>
      <c r="F137" s="62">
        <v>332129.92800000001</v>
      </c>
    </row>
    <row r="138" spans="1:7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7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0.13154294526565549</v>
      </c>
      <c r="E139" s="92">
        <f>E137/E130*100%</f>
        <v>0.11156746078581596</v>
      </c>
      <c r="F139" s="92">
        <f>F137/F130*100%</f>
        <v>5.6189174293451952E-2</v>
      </c>
    </row>
    <row r="140" spans="1:7" ht="176.25" customHeight="1" thickBot="1" x14ac:dyDescent="0.25">
      <c r="A140" s="35" t="s">
        <v>108</v>
      </c>
      <c r="B140" s="32" t="s">
        <v>109</v>
      </c>
      <c r="C140" s="21"/>
      <c r="D140" s="102" t="s">
        <v>168</v>
      </c>
      <c r="E140" s="102" t="s">
        <v>170</v>
      </c>
      <c r="F140" s="102" t="s">
        <v>170</v>
      </c>
    </row>
    <row r="141" spans="1:7" x14ac:dyDescent="0.2">
      <c r="A141" s="5"/>
    </row>
    <row r="142" spans="1:7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7" x14ac:dyDescent="0.2">
      <c r="A143" s="163"/>
      <c r="B143" s="163"/>
      <c r="C143" s="163"/>
      <c r="D143" s="163"/>
    </row>
    <row r="144" spans="1:7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4" t="s">
        <v>112</v>
      </c>
      <c r="B154" s="164"/>
      <c r="C154" s="164"/>
      <c r="D154" s="164"/>
      <c r="E154" s="164"/>
      <c r="F154" s="1"/>
    </row>
    <row r="155" spans="1:9" ht="51.75" customHeight="1" thickBot="1" x14ac:dyDescent="0.25">
      <c r="A155" s="165" t="s">
        <v>16</v>
      </c>
      <c r="B155" s="165" t="s">
        <v>17</v>
      </c>
      <c r="C155" s="165" t="s">
        <v>18</v>
      </c>
      <c r="D155" s="157" t="s">
        <v>19</v>
      </c>
      <c r="E155" s="158"/>
      <c r="F155" s="157" t="s">
        <v>162</v>
      </c>
      <c r="G155" s="158"/>
      <c r="H155" s="159" t="s">
        <v>20</v>
      </c>
      <c r="I155" s="160"/>
    </row>
    <row r="156" spans="1:9" ht="32.25" customHeight="1" thickBot="1" x14ac:dyDescent="0.25">
      <c r="A156" s="166"/>
      <c r="B156" s="166"/>
      <c r="C156" s="166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164</v>
      </c>
      <c r="C159" s="14" t="s">
        <v>165</v>
      </c>
      <c r="D159" s="28">
        <v>138.38999999999999</v>
      </c>
      <c r="E159" s="28">
        <v>210.33</v>
      </c>
      <c r="F159" s="28">
        <v>213.9</v>
      </c>
      <c r="G159" s="28">
        <v>396.78</v>
      </c>
      <c r="H159" s="28">
        <v>396.78</v>
      </c>
      <c r="I159" s="89">
        <v>964.77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76.400000000000006</v>
      </c>
      <c r="E160" s="27">
        <v>176.47</v>
      </c>
      <c r="F160" s="27">
        <v>176.47</v>
      </c>
      <c r="G160" s="27">
        <v>318.83999999999997</v>
      </c>
      <c r="H160" s="27">
        <v>318.83999999999997</v>
      </c>
      <c r="I160" s="89">
        <v>1540.08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1"/>
      <c r="F161" s="71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271.08</v>
      </c>
      <c r="E162" s="72">
        <v>241.4</v>
      </c>
      <c r="F162" s="72">
        <v>241.4</v>
      </c>
      <c r="G162" s="72">
        <v>321.8</v>
      </c>
      <c r="H162" s="72">
        <v>321.8</v>
      </c>
      <c r="I162" s="72">
        <v>420.32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185.03</v>
      </c>
      <c r="E163" s="72">
        <v>166.31</v>
      </c>
      <c r="F163" s="72">
        <v>166.31</v>
      </c>
      <c r="G163" s="72">
        <v>217.61</v>
      </c>
      <c r="H163" s="72">
        <v>217.61</v>
      </c>
      <c r="I163" s="72">
        <v>273.45</v>
      </c>
    </row>
    <row r="164" spans="1:9" ht="23.25" customHeight="1" thickBot="1" x14ac:dyDescent="0.25">
      <c r="A164" s="22"/>
      <c r="B164" s="20" t="s">
        <v>61</v>
      </c>
      <c r="C164" s="95" t="s">
        <v>165</v>
      </c>
      <c r="D164" s="73">
        <v>95.96</v>
      </c>
      <c r="E164" s="73">
        <v>79.73</v>
      </c>
      <c r="F164" s="73">
        <v>79.73</v>
      </c>
      <c r="G164" s="73">
        <v>167.49</v>
      </c>
      <c r="H164" s="73">
        <v>167.49</v>
      </c>
      <c r="I164" s="105">
        <v>211</v>
      </c>
    </row>
    <row r="165" spans="1:9" x14ac:dyDescent="0.2">
      <c r="A165" s="161"/>
      <c r="B165" s="161"/>
      <c r="C165" s="161"/>
      <c r="D165" s="161"/>
      <c r="E165" s="161"/>
      <c r="F165" s="161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A6:E6"/>
    <mergeCell ref="A1:E1"/>
    <mergeCell ref="A2:E2"/>
    <mergeCell ref="A3:E3"/>
    <mergeCell ref="A4:E4"/>
    <mergeCell ref="A5:E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opLeftCell="A34" workbookViewId="0">
      <selection activeCell="I165" sqref="I165"/>
    </sheetView>
  </sheetViews>
  <sheetFormatPr defaultRowHeight="14.25" x14ac:dyDescent="0.2"/>
  <cols>
    <col min="1" max="1" width="9.140625" style="1"/>
    <col min="2" max="2" width="43.28515625" style="1" customWidth="1"/>
    <col min="3" max="3" width="12.85546875" style="1" customWidth="1"/>
    <col min="4" max="4" width="14.5703125" style="57" customWidth="1"/>
    <col min="5" max="6" width="15.28515625" style="57" customWidth="1"/>
    <col min="7" max="7" width="11.5703125" style="1" customWidth="1"/>
    <col min="8" max="9" width="13.57031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7" t="s">
        <v>120</v>
      </c>
      <c r="B1" s="167"/>
      <c r="C1" s="167"/>
      <c r="D1" s="167"/>
      <c r="E1" s="167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155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1" t="s">
        <v>152</v>
      </c>
      <c r="B5" s="161"/>
      <c r="C5" s="161"/>
      <c r="D5" s="161"/>
      <c r="E5" s="161"/>
      <c r="F5" s="1"/>
    </row>
    <row r="6" spans="1:6" x14ac:dyDescent="0.2">
      <c r="A6" s="161" t="s">
        <v>123</v>
      </c>
      <c r="B6" s="161"/>
      <c r="C6" s="161"/>
      <c r="D6" s="161"/>
      <c r="E6" s="161"/>
      <c r="F6" s="1"/>
    </row>
    <row r="7" spans="1:6" ht="22.5" customHeight="1" x14ac:dyDescent="0.2">
      <c r="A7" s="161" t="s">
        <v>153</v>
      </c>
      <c r="B7" s="161"/>
      <c r="C7" s="161"/>
      <c r="D7" s="161"/>
      <c r="E7" s="161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1" t="s">
        <v>4</v>
      </c>
      <c r="B18" s="161"/>
      <c r="C18" s="2" t="s">
        <v>154</v>
      </c>
    </row>
    <row r="19" spans="1:3" x14ac:dyDescent="0.2">
      <c r="A19" s="5"/>
    </row>
    <row r="20" spans="1:3" x14ac:dyDescent="0.2">
      <c r="A20" s="161" t="s">
        <v>5</v>
      </c>
      <c r="B20" s="161"/>
      <c r="C20" s="3" t="s">
        <v>150</v>
      </c>
    </row>
    <row r="21" spans="1:3" x14ac:dyDescent="0.2">
      <c r="A21" s="5"/>
    </row>
    <row r="22" spans="1:3" x14ac:dyDescent="0.2">
      <c r="A22" s="161" t="s">
        <v>6</v>
      </c>
      <c r="B22" s="161"/>
      <c r="C22" s="2" t="s">
        <v>130</v>
      </c>
    </row>
    <row r="23" spans="1:3" x14ac:dyDescent="0.2">
      <c r="A23" s="5"/>
    </row>
    <row r="24" spans="1:3" x14ac:dyDescent="0.2">
      <c r="A24" s="161" t="s">
        <v>7</v>
      </c>
      <c r="B24" s="161"/>
      <c r="C24" s="2" t="s">
        <v>130</v>
      </c>
    </row>
    <row r="25" spans="1:3" x14ac:dyDescent="0.2">
      <c r="A25" s="5"/>
    </row>
    <row r="26" spans="1:3" x14ac:dyDescent="0.2">
      <c r="A26" s="161" t="s">
        <v>8</v>
      </c>
      <c r="B26" s="161"/>
      <c r="C26" s="4">
        <v>2466132221</v>
      </c>
    </row>
    <row r="27" spans="1:3" x14ac:dyDescent="0.2">
      <c r="A27" s="5"/>
    </row>
    <row r="28" spans="1:3" x14ac:dyDescent="0.2">
      <c r="A28" s="161" t="s">
        <v>9</v>
      </c>
      <c r="B28" s="161"/>
      <c r="C28" s="3">
        <v>246750001</v>
      </c>
    </row>
    <row r="29" spans="1:3" x14ac:dyDescent="0.2">
      <c r="A29" s="5"/>
    </row>
    <row r="30" spans="1:3" x14ac:dyDescent="0.2">
      <c r="A30" s="161" t="s">
        <v>10</v>
      </c>
      <c r="B30" s="161"/>
      <c r="C30" s="2" t="s">
        <v>129</v>
      </c>
    </row>
    <row r="31" spans="1:3" x14ac:dyDescent="0.2">
      <c r="A31" s="5"/>
    </row>
    <row r="32" spans="1:3" ht="15" x14ac:dyDescent="0.25">
      <c r="A32" s="161" t="s">
        <v>11</v>
      </c>
      <c r="B32" s="161"/>
      <c r="C32" s="10" t="s">
        <v>136</v>
      </c>
    </row>
    <row r="33" spans="1:8" x14ac:dyDescent="0.2">
      <c r="A33" s="5"/>
    </row>
    <row r="34" spans="1:8" x14ac:dyDescent="0.2">
      <c r="A34" s="161" t="s">
        <v>12</v>
      </c>
      <c r="B34" s="161"/>
      <c r="C34" s="2" t="s">
        <v>131</v>
      </c>
    </row>
    <row r="35" spans="1:8" x14ac:dyDescent="0.2">
      <c r="A35" s="5"/>
    </row>
    <row r="36" spans="1:8" x14ac:dyDescent="0.2">
      <c r="A36" s="161" t="s">
        <v>13</v>
      </c>
      <c r="B36" s="161"/>
      <c r="C36" s="2" t="s">
        <v>135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75" t="s">
        <v>18</v>
      </c>
      <c r="D48" s="58" t="s">
        <v>151</v>
      </c>
      <c r="E48" s="79" t="s">
        <v>157</v>
      </c>
      <c r="F48" s="58" t="s">
        <v>156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59">
        <v>12557062.434</v>
      </c>
      <c r="E49" s="80">
        <f>E51+E101+E114</f>
        <v>12160250.563000001</v>
      </c>
      <c r="F49" s="59">
        <f>F51+F101+F114</f>
        <v>11370186.95162959</v>
      </c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3419732.656</v>
      </c>
      <c r="E51" s="80">
        <f>E52+E55+E94</f>
        <v>3469640.8000000007</v>
      </c>
      <c r="F51" s="59">
        <f>F52+F55+F94</f>
        <v>3630000.0406295885</v>
      </c>
      <c r="G51" s="88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2030153.656</v>
      </c>
      <c r="E52" s="80">
        <f t="shared" ref="E52" si="0">E60+E67+E88</f>
        <v>2311072.870053946</v>
      </c>
      <c r="F52" s="59">
        <f t="shared" ref="F52:F55" si="1">F60+F67+F88</f>
        <v>2416207.2316542179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 t="shared" ref="D53:D54" si="2">D61+D68+D75+D82+D89+D96</f>
        <v>1020866.656</v>
      </c>
      <c r="E53" s="80">
        <f t="shared" ref="E53" si="3">E61+E68+E89</f>
        <v>1191966.388000001</v>
      </c>
      <c r="F53" s="59">
        <f t="shared" si="1"/>
        <v>1239311.9460226591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si="2"/>
        <v>1009287</v>
      </c>
      <c r="E54" s="80">
        <f t="shared" ref="E54" si="4">E62+E69+E90</f>
        <v>1119106.4820539448</v>
      </c>
      <c r="F54" s="59">
        <f t="shared" si="1"/>
        <v>1176895.2856315589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D63++D70+D77+D84+D91+D98</f>
        <v>1389579</v>
      </c>
      <c r="E55" s="80">
        <f t="shared" ref="E55" si="5">E63+E70+E91</f>
        <v>963979.09594605467</v>
      </c>
      <c r="F55" s="59">
        <f t="shared" si="1"/>
        <v>1003840.8089753705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D64++D71+D78+D85+D92+D99</f>
        <v>728332</v>
      </c>
      <c r="E56" s="80">
        <f>E64++E71+E92</f>
        <v>497307.22799999965</v>
      </c>
      <c r="F56" s="59">
        <f>F64++F71+F92</f>
        <v>512985.60031101544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D65++D72+D79+D86+D93+D100</f>
        <v>661247</v>
      </c>
      <c r="E57" s="80">
        <f>E65++E72+E93</f>
        <v>466671.86794605502</v>
      </c>
      <c r="F57" s="59">
        <f>F65++F72+F93</f>
        <v>490855.20866435504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391694.65600000002</v>
      </c>
      <c r="E59" s="80">
        <f>E60+E63</f>
        <v>426054.92003998201</v>
      </c>
      <c r="F59" s="59">
        <f>F60+F63</f>
        <v>432277.04062958853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260878.65600000002</v>
      </c>
      <c r="E60" s="80">
        <f>E61+E62</f>
        <v>335129.3191161335</v>
      </c>
      <c r="F60" s="59">
        <f>F61+F62</f>
        <v>340977.23165421805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133481.65600000002</v>
      </c>
      <c r="E61" s="80">
        <v>172746.8251628773</v>
      </c>
      <c r="F61" s="59">
        <v>176856.9460226591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127397</v>
      </c>
      <c r="E62" s="80">
        <v>162382.49395325617</v>
      </c>
      <c r="F62" s="59">
        <v>164120.28563155892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130816</v>
      </c>
      <c r="E63" s="80">
        <f>E64+E65</f>
        <v>90925.600923848513</v>
      </c>
      <c r="F63" s="59">
        <f>F64+F65</f>
        <v>91299.808975370514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68469</v>
      </c>
      <c r="E64" s="80">
        <v>46000.29586330639</v>
      </c>
      <c r="F64" s="59">
        <v>46846.600311015463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62347</v>
      </c>
      <c r="E65" s="80">
        <v>44925.305060542123</v>
      </c>
      <c r="F65" s="59">
        <v>44453.208664355043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1797396</v>
      </c>
      <c r="E66" s="80">
        <f>E67+E70</f>
        <v>1861202.4489821675</v>
      </c>
      <c r="F66" s="59">
        <f>F67+F70</f>
        <v>1949575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1096736</v>
      </c>
      <c r="E67" s="80">
        <f>E68+E69</f>
        <v>1286679.0512207123</v>
      </c>
      <c r="F67" s="59">
        <f>F68+F69</f>
        <v>1349755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v>551530</v>
      </c>
      <c r="E68" s="80">
        <v>662683.09827761166</v>
      </c>
      <c r="F68" s="59">
        <v>690225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v>545206</v>
      </c>
      <c r="E69" s="59">
        <v>623995.95294310071</v>
      </c>
      <c r="F69" s="59">
        <v>659530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700660</v>
      </c>
      <c r="E70" s="80">
        <f>E71+E72</f>
        <v>574523.39776145527</v>
      </c>
      <c r="F70" s="59">
        <f>F71+F72</f>
        <v>599820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367051</v>
      </c>
      <c r="E71" s="80">
        <v>293487.97320839623</v>
      </c>
      <c r="F71" s="59">
        <v>306661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333609</v>
      </c>
      <c r="E72" s="80">
        <v>281035.4245530591</v>
      </c>
      <c r="F72" s="59">
        <v>293159</v>
      </c>
      <c r="G72" s="56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" si="6">E74+E77</f>
        <v>0</v>
      </c>
      <c r="F73" s="59">
        <f t="shared" ref="F73" si="7">F74+F77</f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" si="8">E75+E76</f>
        <v>0</v>
      </c>
      <c r="F74" s="59">
        <f t="shared" ref="F74" si="9">F75+F76</f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" si="10">E78+E79</f>
        <v>0</v>
      </c>
      <c r="F77" s="59">
        <f t="shared" ref="F77" si="11">F78+F79</f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" si="12">E81+E84</f>
        <v>0</v>
      </c>
      <c r="F80" s="59">
        <f t="shared" ref="F80" si="13">F81+F84</f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" si="14">E82+E83</f>
        <v>0</v>
      </c>
      <c r="F81" s="59">
        <f t="shared" ref="F81" si="15">F82+F83</f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" si="16">E85+E86</f>
        <v>0</v>
      </c>
      <c r="F84" s="59">
        <f t="shared" ref="F84" si="17">F85+F86</f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1042707</v>
      </c>
      <c r="E87" s="80">
        <f>E88+E91</f>
        <v>987794.59697785089</v>
      </c>
      <c r="F87" s="59">
        <f>F88+F91</f>
        <v>1038196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551009</v>
      </c>
      <c r="E88" s="80">
        <f>E89+E90</f>
        <v>689264.49971710006</v>
      </c>
      <c r="F88" s="59">
        <f>F89+F90</f>
        <v>725475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f>278859+2</f>
        <v>278861</v>
      </c>
      <c r="E89" s="80">
        <f>356536.464559512</f>
        <v>356536.46455951198</v>
      </c>
      <c r="F89" s="59">
        <f>372228+2</f>
        <v>372230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272148</v>
      </c>
      <c r="E90" s="80">
        <f>332728.035157588</f>
        <v>332728.03515758802</v>
      </c>
      <c r="F90" s="59">
        <f>353242+3</f>
        <v>353245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59">
        <f>D92+D93</f>
        <v>491698</v>
      </c>
      <c r="E91" s="80">
        <f>E92+E93</f>
        <v>298530.09726075083</v>
      </c>
      <c r="F91" s="59">
        <f>F92+F93</f>
        <v>312721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f>259249+3</f>
        <v>259252</v>
      </c>
      <c r="E92" s="80">
        <f>157818.958928297</f>
        <v>157818.95892829701</v>
      </c>
      <c r="F92" s="59">
        <f>159476+2</f>
        <v>159478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232446</v>
      </c>
      <c r="E93" s="80">
        <v>140711.13833245379</v>
      </c>
      <c r="F93" s="59">
        <f>153238+5</f>
        <v>153243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7">
        <f>D95+D98</f>
        <v>187935</v>
      </c>
      <c r="E94" s="76">
        <f>E95+E98</f>
        <v>194588.834</v>
      </c>
      <c r="F94" s="77">
        <f>F95+F98</f>
        <v>209952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121530</v>
      </c>
      <c r="E95" s="76">
        <f>E96+E97</f>
        <v>122755.62994605507</v>
      </c>
      <c r="F95" s="77">
        <f>F96+F97</f>
        <v>130306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56994</v>
      </c>
      <c r="E96" s="76">
        <v>57430.612000000001</v>
      </c>
      <c r="F96" s="40">
        <v>63210</v>
      </c>
      <c r="L96" s="56"/>
      <c r="M96" s="56"/>
    </row>
    <row r="97" spans="1:7" ht="24" customHeight="1" x14ac:dyDescent="0.2">
      <c r="A97" s="36"/>
      <c r="B97" s="30" t="s">
        <v>29</v>
      </c>
      <c r="C97" s="31" t="s">
        <v>125</v>
      </c>
      <c r="D97" s="62">
        <v>64536</v>
      </c>
      <c r="E97" s="76">
        <v>65325.017946055057</v>
      </c>
      <c r="F97" s="40">
        <v>67096</v>
      </c>
      <c r="G97" s="56"/>
    </row>
    <row r="98" spans="1:7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66405</v>
      </c>
      <c r="E98" s="76">
        <f>E99+E100</f>
        <v>71833.204053944937</v>
      </c>
      <c r="F98" s="40">
        <f>F99+F100</f>
        <v>79646</v>
      </c>
    </row>
    <row r="99" spans="1:7" ht="25.5" customHeight="1" x14ac:dyDescent="0.2">
      <c r="A99" s="36"/>
      <c r="B99" s="30" t="s">
        <v>28</v>
      </c>
      <c r="C99" s="31" t="s">
        <v>125</v>
      </c>
      <c r="D99" s="62">
        <v>33560</v>
      </c>
      <c r="E99" s="76">
        <v>34451.972000000002</v>
      </c>
      <c r="F99" s="40">
        <v>41244</v>
      </c>
    </row>
    <row r="100" spans="1:7" ht="22.5" customHeight="1" x14ac:dyDescent="0.2">
      <c r="A100" s="36"/>
      <c r="B100" s="30" t="s">
        <v>29</v>
      </c>
      <c r="C100" s="31" t="s">
        <v>125</v>
      </c>
      <c r="D100" s="62">
        <v>32845</v>
      </c>
      <c r="E100" s="76">
        <v>37381.232053944943</v>
      </c>
      <c r="F100" s="40">
        <v>38402</v>
      </c>
      <c r="G100" s="86"/>
    </row>
    <row r="101" spans="1:7" ht="77.25" customHeight="1" x14ac:dyDescent="0.2">
      <c r="A101" s="27" t="s">
        <v>56</v>
      </c>
      <c r="B101" s="30" t="s">
        <v>57</v>
      </c>
      <c r="C101" s="31" t="s">
        <v>125</v>
      </c>
      <c r="D101" s="59">
        <f>D102+D105+D108+D111+7780.443</f>
        <v>6876595.7679999992</v>
      </c>
      <c r="E101" s="80">
        <f t="shared" ref="E101" si="18">E102+E105+E108+E111</f>
        <v>6668700.0070000011</v>
      </c>
      <c r="F101" s="59">
        <f t="shared" ref="F101" si="19">F102+F105+F108+F111</f>
        <v>5718277.1550000003</v>
      </c>
      <c r="G101" s="87"/>
    </row>
    <row r="102" spans="1:7" ht="21.75" customHeight="1" x14ac:dyDescent="0.2">
      <c r="A102" s="36"/>
      <c r="B102" s="30" t="s">
        <v>58</v>
      </c>
      <c r="C102" s="31" t="s">
        <v>125</v>
      </c>
      <c r="D102" s="59">
        <f t="shared" ref="D102:E102" si="20">D103+D104</f>
        <v>1579361.7590000003</v>
      </c>
      <c r="E102" s="80">
        <f t="shared" si="20"/>
        <v>1526923.2198491325</v>
      </c>
      <c r="F102" s="59">
        <f t="shared" ref="F102" si="21">F103+F104</f>
        <v>1459508.4065581863</v>
      </c>
    </row>
    <row r="103" spans="1:7" ht="23.25" customHeight="1" x14ac:dyDescent="0.2">
      <c r="A103" s="36"/>
      <c r="B103" s="30" t="s">
        <v>28</v>
      </c>
      <c r="C103" s="31" t="s">
        <v>125</v>
      </c>
      <c r="D103" s="59">
        <v>822517.57400000002</v>
      </c>
      <c r="E103" s="80">
        <v>810626.60046742135</v>
      </c>
      <c r="F103" s="59">
        <v>769408.1445781939</v>
      </c>
    </row>
    <row r="104" spans="1:7" ht="21" customHeight="1" x14ac:dyDescent="0.2">
      <c r="A104" s="36"/>
      <c r="B104" s="30" t="s">
        <v>29</v>
      </c>
      <c r="C104" s="31" t="s">
        <v>125</v>
      </c>
      <c r="D104" s="59">
        <v>756844.18500000029</v>
      </c>
      <c r="E104" s="80">
        <v>716296.619381711</v>
      </c>
      <c r="F104" s="59">
        <v>690100.26197999227</v>
      </c>
    </row>
    <row r="105" spans="1:7" ht="24.75" customHeight="1" x14ac:dyDescent="0.2">
      <c r="A105" s="36"/>
      <c r="B105" s="30" t="s">
        <v>59</v>
      </c>
      <c r="C105" s="31" t="s">
        <v>125</v>
      </c>
      <c r="D105" s="59">
        <f t="shared" ref="D105:E105" si="22">D106+D107</f>
        <v>1652030.8389999997</v>
      </c>
      <c r="E105" s="80">
        <f t="shared" si="22"/>
        <v>1565644.6483280594</v>
      </c>
      <c r="F105" s="59">
        <f t="shared" ref="F105" si="23">F106+F107</f>
        <v>1498156.7903389612</v>
      </c>
    </row>
    <row r="106" spans="1:7" ht="23.25" customHeight="1" x14ac:dyDescent="0.2">
      <c r="A106" s="36"/>
      <c r="B106" s="30" t="s">
        <v>28</v>
      </c>
      <c r="C106" s="31" t="s">
        <v>125</v>
      </c>
      <c r="D106" s="59">
        <v>840125.51099999982</v>
      </c>
      <c r="E106" s="80">
        <v>828933.35005046322</v>
      </c>
      <c r="F106" s="59">
        <v>770965.46237823763</v>
      </c>
    </row>
    <row r="107" spans="1:7" ht="21.75" customHeight="1" x14ac:dyDescent="0.2">
      <c r="A107" s="36"/>
      <c r="B107" s="30" t="s">
        <v>29</v>
      </c>
      <c r="C107" s="31" t="s">
        <v>125</v>
      </c>
      <c r="D107" s="59">
        <v>811905.32799999986</v>
      </c>
      <c r="E107" s="80">
        <v>736711.29827759601</v>
      </c>
      <c r="F107" s="59">
        <v>727191.32796072355</v>
      </c>
    </row>
    <row r="108" spans="1:7" ht="23.25" customHeight="1" x14ac:dyDescent="0.2">
      <c r="A108" s="36"/>
      <c r="B108" s="30" t="s">
        <v>60</v>
      </c>
      <c r="C108" s="31" t="s">
        <v>125</v>
      </c>
      <c r="D108" s="59">
        <f t="shared" ref="D108:E108" si="24">D109+D110</f>
        <v>2339482.0589999999</v>
      </c>
      <c r="E108" s="80">
        <f t="shared" si="24"/>
        <v>2205879.4310519011</v>
      </c>
      <c r="F108" s="59">
        <f t="shared" ref="F108" si="25">F109+F110</f>
        <v>1861397.3303653533</v>
      </c>
    </row>
    <row r="109" spans="1:7" ht="24.75" customHeight="1" x14ac:dyDescent="0.2">
      <c r="A109" s="36"/>
      <c r="B109" s="30" t="s">
        <v>28</v>
      </c>
      <c r="C109" s="31" t="s">
        <v>125</v>
      </c>
      <c r="D109" s="59">
        <v>1178300.9859999998</v>
      </c>
      <c r="E109" s="80">
        <v>1138420.6603057887</v>
      </c>
      <c r="F109" s="59">
        <v>988685.71235696436</v>
      </c>
    </row>
    <row r="110" spans="1:7" ht="22.5" customHeight="1" x14ac:dyDescent="0.2">
      <c r="A110" s="36"/>
      <c r="B110" s="30" t="s">
        <v>29</v>
      </c>
      <c r="C110" s="31" t="s">
        <v>125</v>
      </c>
      <c r="D110" s="59">
        <v>1161181.0730000001</v>
      </c>
      <c r="E110" s="80">
        <v>1067458.7707461123</v>
      </c>
      <c r="F110" s="59">
        <v>872711.6180083889</v>
      </c>
    </row>
    <row r="111" spans="1:7" ht="25.5" customHeight="1" x14ac:dyDescent="0.2">
      <c r="A111" s="36"/>
      <c r="B111" s="30" t="s">
        <v>61</v>
      </c>
      <c r="C111" s="31" t="s">
        <v>125</v>
      </c>
      <c r="D111" s="59">
        <f t="shared" ref="D111:E111" si="26">D112+D113</f>
        <v>1297940.6680000001</v>
      </c>
      <c r="E111" s="80">
        <f t="shared" si="26"/>
        <v>1370252.707770908</v>
      </c>
      <c r="F111" s="59">
        <f t="shared" ref="F111" si="27">F112+F113</f>
        <v>899214.62773749977</v>
      </c>
    </row>
    <row r="112" spans="1:7" ht="26.25" customHeight="1" x14ac:dyDescent="0.2">
      <c r="A112" s="36"/>
      <c r="B112" s="30" t="s">
        <v>28</v>
      </c>
      <c r="C112" s="31" t="s">
        <v>125</v>
      </c>
      <c r="D112" s="59">
        <v>710656.95699999994</v>
      </c>
      <c r="E112" s="80">
        <v>740848.83717632724</v>
      </c>
      <c r="F112" s="59">
        <v>484052.2993506614</v>
      </c>
    </row>
    <row r="113" spans="1:10" ht="24" customHeight="1" x14ac:dyDescent="0.2">
      <c r="A113" s="36"/>
      <c r="B113" s="30" t="s">
        <v>29</v>
      </c>
      <c r="C113" s="31" t="s">
        <v>125</v>
      </c>
      <c r="D113" s="59">
        <v>587283.71100000013</v>
      </c>
      <c r="E113" s="80">
        <v>629403.87059458077</v>
      </c>
      <c r="F113" s="59">
        <v>415162.32838683837</v>
      </c>
    </row>
    <row r="114" spans="1:10" ht="64.5" customHeight="1" x14ac:dyDescent="0.2">
      <c r="A114" s="27" t="s">
        <v>62</v>
      </c>
      <c r="B114" s="30" t="s">
        <v>63</v>
      </c>
      <c r="C114" s="31" t="s">
        <v>125</v>
      </c>
      <c r="D114" s="80">
        <f t="shared" ref="D114:E114" si="28">D115+D116</f>
        <v>2260733.44</v>
      </c>
      <c r="E114" s="80">
        <f t="shared" si="28"/>
        <v>2021909.7560000001</v>
      </c>
      <c r="F114" s="59">
        <f t="shared" ref="F114" si="29">F115+F116</f>
        <v>2021909.7560000001</v>
      </c>
    </row>
    <row r="115" spans="1:10" ht="25.5" customHeight="1" x14ac:dyDescent="0.2">
      <c r="A115" s="36"/>
      <c r="B115" s="30" t="s">
        <v>64</v>
      </c>
      <c r="C115" s="31" t="s">
        <v>125</v>
      </c>
      <c r="D115" s="59">
        <v>1065838.5079999999</v>
      </c>
      <c r="E115" s="80">
        <v>1028024.045</v>
      </c>
      <c r="F115" s="59">
        <v>1028024.045</v>
      </c>
      <c r="J115" s="56"/>
    </row>
    <row r="116" spans="1:10" ht="25.5" customHeight="1" x14ac:dyDescent="0.2">
      <c r="A116" s="36"/>
      <c r="B116" s="30" t="s">
        <v>65</v>
      </c>
      <c r="C116" s="31" t="s">
        <v>125</v>
      </c>
      <c r="D116" s="59">
        <v>1194894.932</v>
      </c>
      <c r="E116" s="80">
        <v>993885.71100000001</v>
      </c>
      <c r="F116" s="59">
        <v>993885.71100000001</v>
      </c>
      <c r="G116" s="78"/>
    </row>
    <row r="117" spans="1:10" ht="28.5" x14ac:dyDescent="0.2">
      <c r="A117" s="27" t="s">
        <v>66</v>
      </c>
      <c r="B117" s="30" t="s">
        <v>67</v>
      </c>
      <c r="C117" s="31" t="s">
        <v>70</v>
      </c>
      <c r="D117" s="63">
        <f>D119+D120</f>
        <v>1030.058</v>
      </c>
      <c r="E117" s="82">
        <f t="shared" ref="E117" si="30">E119+E120</f>
        <v>1038.3630000000001</v>
      </c>
      <c r="F117" s="63">
        <f t="shared" ref="F117" si="31">F119+F120</f>
        <v>1048.6690000000001</v>
      </c>
    </row>
    <row r="118" spans="1:10" ht="18" customHeight="1" x14ac:dyDescent="0.2">
      <c r="A118" s="36"/>
      <c r="B118" s="30" t="s">
        <v>23</v>
      </c>
      <c r="C118" s="37"/>
      <c r="D118" s="64"/>
      <c r="E118" s="83"/>
      <c r="F118" s="64"/>
    </row>
    <row r="119" spans="1:10" ht="32.25" customHeight="1" x14ac:dyDescent="0.2">
      <c r="A119" s="27" t="s">
        <v>68</v>
      </c>
      <c r="B119" s="30" t="s">
        <v>69</v>
      </c>
      <c r="C119" s="31" t="s">
        <v>70</v>
      </c>
      <c r="D119" s="63">
        <f>999+2.581</f>
        <v>1001.581</v>
      </c>
      <c r="E119" s="82">
        <f>1007+2.722</f>
        <v>1009.722</v>
      </c>
      <c r="F119" s="63">
        <f>1017+2.863</f>
        <v>1019.8630000000001</v>
      </c>
    </row>
    <row r="120" spans="1:10" ht="78" customHeight="1" x14ac:dyDescent="0.2">
      <c r="A120" s="27" t="s">
        <v>71</v>
      </c>
      <c r="B120" s="30" t="s">
        <v>72</v>
      </c>
      <c r="C120" s="31" t="s">
        <v>70</v>
      </c>
      <c r="D120" s="65">
        <v>28.477</v>
      </c>
      <c r="E120" s="82">
        <v>28.640999999999998</v>
      </c>
      <c r="F120" s="63">
        <v>28.806000000000001</v>
      </c>
    </row>
    <row r="121" spans="1:10" ht="24.75" customHeight="1" x14ac:dyDescent="0.2">
      <c r="A121" s="36"/>
      <c r="B121" s="30" t="s">
        <v>58</v>
      </c>
      <c r="C121" s="31" t="s">
        <v>70</v>
      </c>
      <c r="D121" s="63">
        <v>24.946999999999999</v>
      </c>
      <c r="E121" s="82">
        <v>25.062999999999999</v>
      </c>
      <c r="F121" s="63">
        <v>25.178999999999998</v>
      </c>
    </row>
    <row r="122" spans="1:10" ht="22.5" customHeight="1" x14ac:dyDescent="0.2">
      <c r="A122" s="36"/>
      <c r="B122" s="30" t="s">
        <v>59</v>
      </c>
      <c r="C122" s="31" t="s">
        <v>70</v>
      </c>
      <c r="D122" s="82">
        <v>3.0630000000000002</v>
      </c>
      <c r="E122" s="82">
        <v>3.0990000000000002</v>
      </c>
      <c r="F122" s="63">
        <v>3.1349999999999998</v>
      </c>
    </row>
    <row r="123" spans="1:10" ht="21" customHeight="1" x14ac:dyDescent="0.2">
      <c r="A123" s="36"/>
      <c r="B123" s="30" t="s">
        <v>60</v>
      </c>
      <c r="C123" s="31" t="s">
        <v>70</v>
      </c>
      <c r="D123" s="82">
        <v>0.442</v>
      </c>
      <c r="E123" s="82">
        <v>0.45500000000000002</v>
      </c>
      <c r="F123" s="63">
        <v>0.46800000000000003</v>
      </c>
    </row>
    <row r="124" spans="1:10" ht="24" customHeight="1" x14ac:dyDescent="0.2">
      <c r="A124" s="36"/>
      <c r="B124" s="30" t="s">
        <v>61</v>
      </c>
      <c r="C124" s="31" t="s">
        <v>70</v>
      </c>
      <c r="D124" s="82">
        <v>2.5000000000000001E-2</v>
      </c>
      <c r="E124" s="82">
        <v>2.4E-2</v>
      </c>
      <c r="F124" s="63">
        <v>2.4E-2</v>
      </c>
    </row>
    <row r="125" spans="1:10" ht="62.25" customHeight="1" x14ac:dyDescent="0.2">
      <c r="A125" s="27" t="s">
        <v>73</v>
      </c>
      <c r="B125" s="30" t="s">
        <v>74</v>
      </c>
      <c r="C125" s="31" t="s">
        <v>70</v>
      </c>
      <c r="D125" s="65">
        <v>5.2999999999999999E-2</v>
      </c>
      <c r="E125" s="82">
        <v>4.8000000000000001E-2</v>
      </c>
      <c r="F125" s="63">
        <v>4.8000000000000001E-2</v>
      </c>
    </row>
    <row r="126" spans="1:10" ht="35.25" customHeight="1" x14ac:dyDescent="0.2">
      <c r="A126" s="27" t="s">
        <v>75</v>
      </c>
      <c r="B126" s="15" t="s">
        <v>76</v>
      </c>
      <c r="C126" s="31" t="s">
        <v>79</v>
      </c>
      <c r="D126" s="62">
        <f>D128+D129</f>
        <v>1149798</v>
      </c>
      <c r="E126" s="84">
        <f>E128+E129</f>
        <v>1161675</v>
      </c>
      <c r="F126" s="62">
        <f>F128+F129</f>
        <v>1175072</v>
      </c>
    </row>
    <row r="127" spans="1:10" ht="24.75" customHeight="1" x14ac:dyDescent="0.2">
      <c r="A127" s="36"/>
      <c r="B127" s="30" t="s">
        <v>23</v>
      </c>
      <c r="C127" s="37"/>
      <c r="D127" s="62"/>
      <c r="E127" s="84"/>
      <c r="F127" s="62"/>
    </row>
    <row r="128" spans="1:10" ht="33" customHeight="1" x14ac:dyDescent="0.2">
      <c r="A128" s="27" t="s">
        <v>77</v>
      </c>
      <c r="B128" s="15" t="s">
        <v>78</v>
      </c>
      <c r="C128" s="31" t="s">
        <v>79</v>
      </c>
      <c r="D128" s="62">
        <f>1050267+13216</f>
        <v>1063483</v>
      </c>
      <c r="E128" s="84">
        <f>1061321+16999</f>
        <v>1078320</v>
      </c>
      <c r="F128" s="62">
        <f>1072711+17339</f>
        <v>1090050</v>
      </c>
    </row>
    <row r="129" spans="1:6" ht="78.75" customHeight="1" x14ac:dyDescent="0.2">
      <c r="A129" s="27" t="s">
        <v>80</v>
      </c>
      <c r="B129" s="15" t="s">
        <v>81</v>
      </c>
      <c r="C129" s="31" t="s">
        <v>79</v>
      </c>
      <c r="D129" s="62">
        <f>D130+D131+D132+D133</f>
        <v>86315</v>
      </c>
      <c r="E129" s="84">
        <f t="shared" ref="E129" si="32">E130+E131+E132+E133</f>
        <v>83355</v>
      </c>
      <c r="F129" s="62">
        <f t="shared" ref="F129" si="33">F130+F131+F132+F133</f>
        <v>85022</v>
      </c>
    </row>
    <row r="130" spans="1:6" ht="24.75" customHeight="1" x14ac:dyDescent="0.2">
      <c r="A130" s="36"/>
      <c r="B130" s="38" t="s">
        <v>58</v>
      </c>
      <c r="C130" s="18" t="s">
        <v>79</v>
      </c>
      <c r="D130" s="62">
        <v>59508</v>
      </c>
      <c r="E130" s="84">
        <v>62031</v>
      </c>
      <c r="F130" s="62">
        <v>63527</v>
      </c>
    </row>
    <row r="131" spans="1:6" ht="26.25" customHeight="1" x14ac:dyDescent="0.2">
      <c r="A131" s="36"/>
      <c r="B131" s="38" t="s">
        <v>59</v>
      </c>
      <c r="C131" s="18" t="s">
        <v>79</v>
      </c>
      <c r="D131" s="62">
        <v>18272</v>
      </c>
      <c r="E131" s="84">
        <v>18272</v>
      </c>
      <c r="F131" s="62">
        <v>18455</v>
      </c>
    </row>
    <row r="132" spans="1:6" ht="26.25" customHeight="1" x14ac:dyDescent="0.2">
      <c r="A132" s="36"/>
      <c r="B132" s="38" t="s">
        <v>60</v>
      </c>
      <c r="C132" s="18" t="s">
        <v>79</v>
      </c>
      <c r="D132" s="62">
        <v>7318</v>
      </c>
      <c r="E132" s="84">
        <v>2803</v>
      </c>
      <c r="F132" s="62">
        <v>2795</v>
      </c>
    </row>
    <row r="133" spans="1:6" ht="25.5" customHeight="1" x14ac:dyDescent="0.2">
      <c r="A133" s="36"/>
      <c r="B133" s="38" t="s">
        <v>61</v>
      </c>
      <c r="C133" s="18" t="s">
        <v>79</v>
      </c>
      <c r="D133" s="62">
        <v>1217</v>
      </c>
      <c r="E133" s="84">
        <v>249</v>
      </c>
      <c r="F133" s="62">
        <v>245</v>
      </c>
    </row>
    <row r="134" spans="1:6" ht="27.75" customHeight="1" x14ac:dyDescent="0.2">
      <c r="A134" s="27" t="s">
        <v>82</v>
      </c>
      <c r="B134" s="38" t="s">
        <v>83</v>
      </c>
      <c r="C134" s="18" t="s">
        <v>79</v>
      </c>
      <c r="D134" s="62" t="s">
        <v>137</v>
      </c>
      <c r="E134" s="84" t="s">
        <v>137</v>
      </c>
      <c r="F134" s="62" t="s">
        <v>137</v>
      </c>
    </row>
    <row r="135" spans="1:6" ht="32.25" customHeight="1" x14ac:dyDescent="0.2">
      <c r="A135" s="27" t="s">
        <v>84</v>
      </c>
      <c r="B135" s="30" t="s">
        <v>85</v>
      </c>
      <c r="C135" s="31" t="s">
        <v>86</v>
      </c>
      <c r="D135" s="84">
        <v>2123983</v>
      </c>
      <c r="E135" s="84">
        <v>2086413.22</v>
      </c>
      <c r="F135" s="62">
        <v>2781809.2368610259</v>
      </c>
    </row>
    <row r="136" spans="1:6" ht="42.75" x14ac:dyDescent="0.2">
      <c r="A136" s="27" t="s">
        <v>87</v>
      </c>
      <c r="B136" s="15" t="s">
        <v>88</v>
      </c>
      <c r="C136" s="16"/>
      <c r="D136" s="66"/>
      <c r="E136" s="85"/>
      <c r="F136" s="66"/>
    </row>
    <row r="137" spans="1:6" ht="28.5" x14ac:dyDescent="0.2">
      <c r="A137" s="27" t="s">
        <v>89</v>
      </c>
      <c r="B137" s="30" t="s">
        <v>90</v>
      </c>
      <c r="C137" s="31" t="s">
        <v>91</v>
      </c>
      <c r="D137" s="84">
        <v>1078</v>
      </c>
      <c r="E137" s="84">
        <v>1125</v>
      </c>
      <c r="F137" s="62">
        <v>1125</v>
      </c>
    </row>
    <row r="138" spans="1:6" ht="48" customHeight="1" x14ac:dyDescent="0.2">
      <c r="A138" s="40" t="s">
        <v>92</v>
      </c>
      <c r="B138" s="30" t="s">
        <v>93</v>
      </c>
      <c r="C138" s="31" t="s">
        <v>94</v>
      </c>
      <c r="D138" s="90">
        <v>55.938600000000001</v>
      </c>
      <c r="E138" s="91">
        <v>56.635199999999998</v>
      </c>
      <c r="F138" s="90">
        <v>58.899560000000001</v>
      </c>
    </row>
    <row r="139" spans="1:6" ht="47.25" customHeight="1" x14ac:dyDescent="0.2">
      <c r="A139" s="27" t="s">
        <v>95</v>
      </c>
      <c r="B139" s="15" t="s">
        <v>96</v>
      </c>
      <c r="C139" s="16"/>
      <c r="D139" s="62" t="s">
        <v>137</v>
      </c>
      <c r="E139" s="84" t="s">
        <v>137</v>
      </c>
      <c r="F139" s="62" t="s">
        <v>137</v>
      </c>
    </row>
    <row r="140" spans="1:6" ht="31.5" customHeight="1" x14ac:dyDescent="0.2">
      <c r="A140" s="27" t="s">
        <v>97</v>
      </c>
      <c r="B140" s="30" t="s">
        <v>98</v>
      </c>
      <c r="C140" s="31" t="s">
        <v>86</v>
      </c>
      <c r="D140" s="62">
        <v>17003</v>
      </c>
      <c r="E140" s="84">
        <v>437487.48</v>
      </c>
      <c r="F140" s="62">
        <v>383877</v>
      </c>
    </row>
    <row r="141" spans="1:6" ht="32.25" customHeight="1" x14ac:dyDescent="0.2">
      <c r="A141" s="27" t="s">
        <v>99</v>
      </c>
      <c r="B141" s="30" t="s">
        <v>100</v>
      </c>
      <c r="C141" s="31" t="s">
        <v>86</v>
      </c>
      <c r="D141" s="62">
        <v>408544</v>
      </c>
      <c r="E141" s="84">
        <v>598717.43999999994</v>
      </c>
      <c r="F141" s="62">
        <v>569000</v>
      </c>
    </row>
    <row r="142" spans="1:6" ht="33.75" customHeight="1" x14ac:dyDescent="0.2">
      <c r="A142" s="27" t="s">
        <v>101</v>
      </c>
      <c r="B142" s="30" t="s">
        <v>102</v>
      </c>
      <c r="C142" s="31" t="s">
        <v>86</v>
      </c>
      <c r="D142" s="62">
        <v>220495</v>
      </c>
      <c r="E142" s="84">
        <v>274452.94</v>
      </c>
      <c r="F142" s="62">
        <v>306644</v>
      </c>
    </row>
    <row r="143" spans="1:6" ht="31.5" customHeight="1" x14ac:dyDescent="0.2">
      <c r="A143" s="27" t="s">
        <v>103</v>
      </c>
      <c r="B143" s="30" t="s">
        <v>104</v>
      </c>
      <c r="C143" s="31" t="s">
        <v>86</v>
      </c>
      <c r="D143" s="62">
        <v>407404.4</v>
      </c>
      <c r="E143" s="84" t="s">
        <v>137</v>
      </c>
      <c r="F143" s="62" t="s">
        <v>137</v>
      </c>
    </row>
    <row r="144" spans="1:6" ht="51" customHeight="1" x14ac:dyDescent="0.2">
      <c r="A144" s="27" t="s">
        <v>105</v>
      </c>
      <c r="B144" s="30" t="s">
        <v>106</v>
      </c>
      <c r="C144" s="31" t="s">
        <v>107</v>
      </c>
      <c r="D144" s="92">
        <f>D143/D135*100%</f>
        <v>0.19181151638219326</v>
      </c>
      <c r="E144" s="92">
        <f>E142/E135*100%</f>
        <v>0.13154294526565549</v>
      </c>
      <c r="F144" s="92">
        <f>F142/F135*100%</f>
        <v>0.11023185771933626</v>
      </c>
    </row>
    <row r="145" spans="1:9" ht="110.25" customHeight="1" thickBot="1" x14ac:dyDescent="0.25">
      <c r="A145" s="35" t="s">
        <v>108</v>
      </c>
      <c r="B145" s="32" t="s">
        <v>109</v>
      </c>
      <c r="C145" s="21"/>
      <c r="D145" s="67" t="s">
        <v>159</v>
      </c>
      <c r="E145" s="67" t="s">
        <v>158</v>
      </c>
      <c r="F145" s="67" t="s">
        <v>158</v>
      </c>
    </row>
    <row r="146" spans="1:9" x14ac:dyDescent="0.2">
      <c r="A146" s="5"/>
    </row>
    <row r="147" spans="1:9" x14ac:dyDescent="0.2">
      <c r="A147" s="23" t="s">
        <v>110</v>
      </c>
      <c r="B147" s="23"/>
      <c r="C147" s="23"/>
      <c r="D147" s="68"/>
      <c r="E147" s="68"/>
      <c r="F147" s="68"/>
      <c r="G147" s="23"/>
    </row>
    <row r="148" spans="1:9" x14ac:dyDescent="0.2">
      <c r="A148" s="163"/>
      <c r="B148" s="163"/>
      <c r="C148" s="163"/>
      <c r="D148" s="163"/>
    </row>
    <row r="149" spans="1:9" ht="15" x14ac:dyDescent="0.25">
      <c r="A149" s="11"/>
    </row>
    <row r="150" spans="1:9" ht="15" x14ac:dyDescent="0.25">
      <c r="A150" s="11"/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" x14ac:dyDescent="0.25">
      <c r="A154" s="11"/>
      <c r="H154" s="7" t="s">
        <v>111</v>
      </c>
    </row>
    <row r="155" spans="1:9" ht="15" x14ac:dyDescent="0.25">
      <c r="A155" s="11"/>
      <c r="H155" s="9" t="s">
        <v>0</v>
      </c>
    </row>
    <row r="156" spans="1:9" ht="15" x14ac:dyDescent="0.25">
      <c r="A156" s="11"/>
    </row>
    <row r="157" spans="1:9" ht="15" x14ac:dyDescent="0.25">
      <c r="A157" s="11"/>
    </row>
    <row r="158" spans="1:9" ht="15" x14ac:dyDescent="0.25">
      <c r="A158" s="11"/>
    </row>
    <row r="159" spans="1:9" ht="15.75" thickBot="1" x14ac:dyDescent="0.3">
      <c r="A159" s="164" t="s">
        <v>112</v>
      </c>
      <c r="B159" s="164"/>
      <c r="C159" s="164"/>
      <c r="D159" s="164"/>
      <c r="E159" s="164"/>
      <c r="F159" s="1"/>
    </row>
    <row r="160" spans="1:9" ht="51.75" customHeight="1" thickBot="1" x14ac:dyDescent="0.25">
      <c r="A160" s="165" t="s">
        <v>16</v>
      </c>
      <c r="B160" s="165" t="s">
        <v>17</v>
      </c>
      <c r="C160" s="165" t="s">
        <v>18</v>
      </c>
      <c r="D160" s="157" t="s">
        <v>19</v>
      </c>
      <c r="E160" s="158"/>
      <c r="F160" s="157" t="s">
        <v>157</v>
      </c>
      <c r="G160" s="158"/>
      <c r="H160" s="159" t="s">
        <v>20</v>
      </c>
      <c r="I160" s="160"/>
    </row>
    <row r="161" spans="1:9" ht="32.25" customHeight="1" thickBot="1" x14ac:dyDescent="0.25">
      <c r="A161" s="166"/>
      <c r="B161" s="166"/>
      <c r="C161" s="166"/>
      <c r="D161" s="69" t="s">
        <v>113</v>
      </c>
      <c r="E161" s="69" t="s">
        <v>114</v>
      </c>
      <c r="F161" s="58" t="s">
        <v>113</v>
      </c>
      <c r="G161" s="58" t="s">
        <v>114</v>
      </c>
      <c r="H161" s="24" t="s">
        <v>113</v>
      </c>
      <c r="I161" s="12" t="s">
        <v>114</v>
      </c>
    </row>
    <row r="162" spans="1:9" x14ac:dyDescent="0.2">
      <c r="A162" s="14"/>
      <c r="B162" s="15"/>
      <c r="C162" s="17"/>
      <c r="D162" s="70"/>
      <c r="E162" s="71"/>
      <c r="F162" s="71"/>
      <c r="G162" s="70"/>
      <c r="H162" s="25"/>
      <c r="I162" s="17"/>
    </row>
    <row r="163" spans="1:9" ht="21" customHeight="1" x14ac:dyDescent="0.2">
      <c r="A163" s="14" t="s">
        <v>75</v>
      </c>
      <c r="B163" s="15" t="s">
        <v>115</v>
      </c>
      <c r="C163" s="17"/>
      <c r="D163" s="70"/>
      <c r="E163" s="71"/>
      <c r="F163" s="71"/>
      <c r="G163" s="70"/>
      <c r="H163" s="25"/>
      <c r="I163" s="17"/>
    </row>
    <row r="164" spans="1:9" ht="60.75" customHeight="1" x14ac:dyDescent="0.2">
      <c r="A164" s="14" t="s">
        <v>77</v>
      </c>
      <c r="B164" s="15" t="s">
        <v>116</v>
      </c>
      <c r="C164" s="15"/>
      <c r="D164" s="28">
        <v>151.94999999999999</v>
      </c>
      <c r="E164" s="28">
        <v>139.38</v>
      </c>
      <c r="F164" s="42">
        <f>138.39</f>
        <v>138.38999999999999</v>
      </c>
      <c r="G164" s="28">
        <f>210.33</f>
        <v>210.33</v>
      </c>
      <c r="H164" s="28">
        <v>210.33</v>
      </c>
      <c r="I164" s="89">
        <f>362.09*1.18</f>
        <v>427.26619999999997</v>
      </c>
    </row>
    <row r="165" spans="1:9" ht="78" customHeight="1" x14ac:dyDescent="0.2">
      <c r="A165" s="14" t="s">
        <v>80</v>
      </c>
      <c r="B165" s="15" t="s">
        <v>117</v>
      </c>
      <c r="C165" s="15"/>
      <c r="D165" s="27">
        <v>76.400000000000006</v>
      </c>
      <c r="E165" s="27">
        <v>76.400000000000006</v>
      </c>
      <c r="F165" s="27">
        <v>76.400000000000006</v>
      </c>
      <c r="G165" s="27">
        <v>176.47</v>
      </c>
      <c r="H165" s="27">
        <v>176.47</v>
      </c>
      <c r="I165" s="89">
        <v>285.60000000000002</v>
      </c>
    </row>
    <row r="166" spans="1:9" ht="33.75" customHeight="1" x14ac:dyDescent="0.2">
      <c r="A166" s="14" t="s">
        <v>118</v>
      </c>
      <c r="B166" s="15" t="s">
        <v>119</v>
      </c>
      <c r="C166" s="14" t="s">
        <v>107</v>
      </c>
      <c r="D166" s="70"/>
      <c r="E166" s="71"/>
      <c r="F166" s="71"/>
      <c r="G166" s="70"/>
      <c r="H166" s="25"/>
      <c r="I166" s="17"/>
    </row>
    <row r="167" spans="1:9" ht="25.5" customHeight="1" x14ac:dyDescent="0.2">
      <c r="A167" s="17"/>
      <c r="B167" s="15" t="s">
        <v>58</v>
      </c>
      <c r="C167" s="14" t="s">
        <v>107</v>
      </c>
      <c r="D167" s="72">
        <v>18.22</v>
      </c>
      <c r="E167" s="72">
        <v>18.22</v>
      </c>
      <c r="F167" s="72">
        <v>18.22</v>
      </c>
      <c r="G167" s="72" t="s">
        <v>137</v>
      </c>
      <c r="H167" s="72" t="s">
        <v>137</v>
      </c>
      <c r="I167" s="72" t="s">
        <v>137</v>
      </c>
    </row>
    <row r="168" spans="1:9" ht="23.25" customHeight="1" x14ac:dyDescent="0.2">
      <c r="A168" s="17"/>
      <c r="B168" s="15" t="s">
        <v>59</v>
      </c>
      <c r="C168" s="14" t="s">
        <v>107</v>
      </c>
      <c r="D168" s="72">
        <v>17.32</v>
      </c>
      <c r="E168" s="72">
        <v>17.32</v>
      </c>
      <c r="F168" s="72">
        <v>17.32</v>
      </c>
      <c r="G168" s="72" t="s">
        <v>137</v>
      </c>
      <c r="H168" s="72" t="s">
        <v>137</v>
      </c>
      <c r="I168" s="72" t="s">
        <v>137</v>
      </c>
    </row>
    <row r="169" spans="1:9" ht="21.75" customHeight="1" x14ac:dyDescent="0.2">
      <c r="A169" s="17"/>
      <c r="B169" s="15" t="s">
        <v>60</v>
      </c>
      <c r="C169" s="14" t="s">
        <v>107</v>
      </c>
      <c r="D169" s="72">
        <v>10.98</v>
      </c>
      <c r="E169" s="72">
        <v>10.98</v>
      </c>
      <c r="F169" s="72">
        <v>10.98</v>
      </c>
      <c r="G169" s="72" t="s">
        <v>137</v>
      </c>
      <c r="H169" s="72" t="s">
        <v>137</v>
      </c>
      <c r="I169" s="72" t="s">
        <v>137</v>
      </c>
    </row>
    <row r="170" spans="1:9" ht="23.25" customHeight="1" thickBot="1" x14ac:dyDescent="0.25">
      <c r="A170" s="22"/>
      <c r="B170" s="20" t="s">
        <v>61</v>
      </c>
      <c r="C170" s="74" t="s">
        <v>107</v>
      </c>
      <c r="D170" s="73">
        <v>5.98</v>
      </c>
      <c r="E170" s="73">
        <v>5.98</v>
      </c>
      <c r="F170" s="73">
        <v>5.98</v>
      </c>
      <c r="G170" s="73" t="s">
        <v>137</v>
      </c>
      <c r="H170" s="73" t="s">
        <v>137</v>
      </c>
      <c r="I170" s="73" t="s">
        <v>137</v>
      </c>
    </row>
    <row r="171" spans="1:9" x14ac:dyDescent="0.2">
      <c r="A171" s="161"/>
      <c r="B171" s="161"/>
      <c r="C171" s="161"/>
      <c r="D171" s="161"/>
      <c r="E171" s="161"/>
      <c r="F171" s="161"/>
    </row>
    <row r="172" spans="1:9" x14ac:dyDescent="0.2">
      <c r="A172" s="23" t="s">
        <v>110</v>
      </c>
      <c r="B172" s="23"/>
      <c r="C172" s="23"/>
      <c r="D172" s="68"/>
      <c r="E172" s="68"/>
      <c r="F172" s="68"/>
    </row>
    <row r="173" spans="1:9" x14ac:dyDescent="0.2">
      <c r="A173" s="5"/>
    </row>
  </sheetData>
  <mergeCells count="28">
    <mergeCell ref="A24:B24"/>
    <mergeCell ref="A1:E1"/>
    <mergeCell ref="A2:E2"/>
    <mergeCell ref="A3:E3"/>
    <mergeCell ref="A4:E4"/>
    <mergeCell ref="A5:E5"/>
    <mergeCell ref="A6:E6"/>
    <mergeCell ref="A7:E7"/>
    <mergeCell ref="A16:E16"/>
    <mergeCell ref="A18:B18"/>
    <mergeCell ref="A20:B20"/>
    <mergeCell ref="A22:B22"/>
    <mergeCell ref="A26:B26"/>
    <mergeCell ref="A28:B28"/>
    <mergeCell ref="A30:B30"/>
    <mergeCell ref="A32:B32"/>
    <mergeCell ref="A34:B34"/>
    <mergeCell ref="A36:B36"/>
    <mergeCell ref="A46:E46"/>
    <mergeCell ref="H160:I160"/>
    <mergeCell ref="A171:F171"/>
    <mergeCell ref="A148:D148"/>
    <mergeCell ref="A159:E159"/>
    <mergeCell ref="A160:A161"/>
    <mergeCell ref="B160:B161"/>
    <mergeCell ref="C160:C161"/>
    <mergeCell ref="D160:E160"/>
    <mergeCell ref="F160:G160"/>
  </mergeCells>
  <hyperlinks>
    <hyperlink ref="C32" r:id="rId1"/>
    <hyperlink ref="H47" location="sub_10000" display="sub_10000"/>
    <hyperlink ref="H155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37" workbookViewId="0">
      <selection activeCell="I49" sqref="I49"/>
    </sheetView>
  </sheetViews>
  <sheetFormatPr defaultRowHeight="14.25" x14ac:dyDescent="0.2"/>
  <cols>
    <col min="1" max="1" width="9.140625" style="1"/>
    <col min="2" max="2" width="43.28515625" style="1" customWidth="1"/>
    <col min="3" max="3" width="12.85546875" style="1" customWidth="1"/>
    <col min="4" max="4" width="14.5703125" style="1" customWidth="1"/>
    <col min="5" max="6" width="15.28515625" style="1" customWidth="1"/>
    <col min="7" max="7" width="13.140625" style="1" customWidth="1"/>
    <col min="8" max="8" width="11.5703125" style="1" customWidth="1"/>
    <col min="9" max="9" width="13.42578125" style="1" customWidth="1"/>
    <col min="10" max="16384" width="9.140625" style="1"/>
  </cols>
  <sheetData>
    <row r="1" spans="1:6" ht="15" x14ac:dyDescent="0.2">
      <c r="A1" s="167" t="s">
        <v>120</v>
      </c>
      <c r="B1" s="167"/>
      <c r="C1" s="167"/>
      <c r="D1" s="167"/>
      <c r="E1" s="167"/>
      <c r="F1" s="167"/>
    </row>
    <row r="2" spans="1:6" ht="15" x14ac:dyDescent="0.25">
      <c r="A2" s="162" t="s">
        <v>121</v>
      </c>
      <c r="B2" s="162"/>
      <c r="C2" s="162"/>
      <c r="D2" s="162"/>
      <c r="E2" s="162"/>
      <c r="F2" s="162"/>
    </row>
    <row r="3" spans="1:6" ht="15" x14ac:dyDescent="0.25">
      <c r="A3" s="162" t="s">
        <v>132</v>
      </c>
      <c r="B3" s="162"/>
      <c r="C3" s="162"/>
      <c r="D3" s="162"/>
      <c r="E3" s="162"/>
      <c r="F3" s="162"/>
    </row>
    <row r="4" spans="1:6" ht="15" x14ac:dyDescent="0.25">
      <c r="A4" s="162" t="s">
        <v>122</v>
      </c>
      <c r="B4" s="162"/>
      <c r="C4" s="162"/>
      <c r="D4" s="162"/>
      <c r="E4" s="162"/>
      <c r="F4" s="162"/>
    </row>
    <row r="5" spans="1:6" ht="23.25" customHeight="1" x14ac:dyDescent="0.2">
      <c r="A5" s="161" t="s">
        <v>133</v>
      </c>
      <c r="B5" s="161"/>
      <c r="C5" s="161"/>
      <c r="D5" s="161"/>
      <c r="E5" s="161"/>
      <c r="F5" s="161"/>
    </row>
    <row r="6" spans="1:6" x14ac:dyDescent="0.2">
      <c r="A6" s="161" t="s">
        <v>123</v>
      </c>
      <c r="B6" s="161"/>
      <c r="C6" s="161"/>
      <c r="D6" s="161"/>
      <c r="E6" s="161"/>
      <c r="F6" s="161"/>
    </row>
    <row r="7" spans="1:6" ht="22.5" customHeight="1" x14ac:dyDescent="0.2">
      <c r="A7" s="161" t="s">
        <v>134</v>
      </c>
      <c r="B7" s="161"/>
      <c r="C7" s="161"/>
      <c r="D7" s="161"/>
      <c r="E7" s="161"/>
      <c r="F7" s="16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  <c r="E11" s="7" t="s">
        <v>14</v>
      </c>
    </row>
    <row r="12" spans="1:6" ht="15" x14ac:dyDescent="0.25">
      <c r="A12" s="8"/>
      <c r="C12" s="8"/>
      <c r="D12" s="8"/>
      <c r="E12" s="9" t="s">
        <v>0</v>
      </c>
    </row>
    <row r="13" spans="1:6" ht="15" x14ac:dyDescent="0.25">
      <c r="A13" s="6"/>
      <c r="C13" s="6"/>
      <c r="D13" s="6"/>
      <c r="E13" s="7" t="s">
        <v>1</v>
      </c>
    </row>
    <row r="14" spans="1:6" ht="15" x14ac:dyDescent="0.25">
      <c r="A14" s="6"/>
      <c r="C14" s="6"/>
      <c r="D14" s="6"/>
      <c r="E14" s="7" t="s">
        <v>2</v>
      </c>
    </row>
    <row r="16" spans="1:6" ht="15" x14ac:dyDescent="0.25">
      <c r="A16" s="162" t="s">
        <v>3</v>
      </c>
      <c r="B16" s="162"/>
      <c r="C16" s="162"/>
      <c r="D16" s="162"/>
      <c r="E16" s="162"/>
      <c r="F16" s="162"/>
    </row>
    <row r="17" spans="1:3" x14ac:dyDescent="0.2">
      <c r="A17" s="5"/>
    </row>
    <row r="18" spans="1:3" x14ac:dyDescent="0.2">
      <c r="A18" s="161" t="s">
        <v>4</v>
      </c>
      <c r="B18" s="161"/>
      <c r="C18" s="2" t="s">
        <v>127</v>
      </c>
    </row>
    <row r="19" spans="1:3" x14ac:dyDescent="0.2">
      <c r="A19" s="5"/>
    </row>
    <row r="20" spans="1:3" x14ac:dyDescent="0.2">
      <c r="A20" s="161" t="s">
        <v>5</v>
      </c>
      <c r="B20" s="161"/>
      <c r="C20" s="3" t="s">
        <v>128</v>
      </c>
    </row>
    <row r="21" spans="1:3" x14ac:dyDescent="0.2">
      <c r="A21" s="5"/>
    </row>
    <row r="22" spans="1:3" x14ac:dyDescent="0.2">
      <c r="A22" s="161" t="s">
        <v>6</v>
      </c>
      <c r="B22" s="161"/>
      <c r="C22" s="2" t="s">
        <v>130</v>
      </c>
    </row>
    <row r="23" spans="1:3" x14ac:dyDescent="0.2">
      <c r="A23" s="5"/>
    </row>
    <row r="24" spans="1:3" x14ac:dyDescent="0.2">
      <c r="A24" s="161" t="s">
        <v>7</v>
      </c>
      <c r="B24" s="161"/>
      <c r="C24" s="2" t="s">
        <v>130</v>
      </c>
    </row>
    <row r="25" spans="1:3" x14ac:dyDescent="0.2">
      <c r="A25" s="5"/>
    </row>
    <row r="26" spans="1:3" x14ac:dyDescent="0.2">
      <c r="A26" s="161" t="s">
        <v>8</v>
      </c>
      <c r="B26" s="161"/>
      <c r="C26" s="4">
        <v>2466132221</v>
      </c>
    </row>
    <row r="27" spans="1:3" x14ac:dyDescent="0.2">
      <c r="A27" s="5"/>
    </row>
    <row r="28" spans="1:3" x14ac:dyDescent="0.2">
      <c r="A28" s="161" t="s">
        <v>9</v>
      </c>
      <c r="B28" s="161"/>
      <c r="C28" s="3">
        <v>246750001</v>
      </c>
    </row>
    <row r="29" spans="1:3" x14ac:dyDescent="0.2">
      <c r="A29" s="5"/>
    </row>
    <row r="30" spans="1:3" x14ac:dyDescent="0.2">
      <c r="A30" s="161" t="s">
        <v>10</v>
      </c>
      <c r="B30" s="161"/>
      <c r="C30" s="2" t="s">
        <v>129</v>
      </c>
    </row>
    <row r="31" spans="1:3" x14ac:dyDescent="0.2">
      <c r="A31" s="5"/>
    </row>
    <row r="32" spans="1:3" ht="15" x14ac:dyDescent="0.25">
      <c r="A32" s="161" t="s">
        <v>11</v>
      </c>
      <c r="B32" s="161"/>
      <c r="C32" s="10" t="s">
        <v>136</v>
      </c>
    </row>
    <row r="33" spans="1:10" x14ac:dyDescent="0.2">
      <c r="A33" s="5"/>
    </row>
    <row r="34" spans="1:10" x14ac:dyDescent="0.2">
      <c r="A34" s="161" t="s">
        <v>12</v>
      </c>
      <c r="B34" s="161"/>
      <c r="C34" s="2" t="s">
        <v>131</v>
      </c>
    </row>
    <row r="35" spans="1:10" x14ac:dyDescent="0.2">
      <c r="A35" s="5"/>
    </row>
    <row r="36" spans="1:10" x14ac:dyDescent="0.2">
      <c r="A36" s="161" t="s">
        <v>13</v>
      </c>
      <c r="B36" s="161"/>
      <c r="C36" s="2" t="s">
        <v>135</v>
      </c>
    </row>
    <row r="37" spans="1:10" x14ac:dyDescent="0.2">
      <c r="A37" s="5"/>
    </row>
    <row r="38" spans="1:10" x14ac:dyDescent="0.2">
      <c r="A38" s="5"/>
    </row>
    <row r="39" spans="1:10" x14ac:dyDescent="0.2">
      <c r="A39" s="5"/>
    </row>
    <row r="40" spans="1:10" x14ac:dyDescent="0.2">
      <c r="A40" s="5"/>
    </row>
    <row r="41" spans="1:10" ht="15" x14ac:dyDescent="0.25">
      <c r="A41" s="11"/>
    </row>
    <row r="42" spans="1:10" ht="15" x14ac:dyDescent="0.25">
      <c r="A42" s="11"/>
    </row>
    <row r="43" spans="1:10" ht="15" x14ac:dyDescent="0.25">
      <c r="A43" s="11"/>
    </row>
    <row r="44" spans="1:10" ht="15" x14ac:dyDescent="0.25">
      <c r="A44" s="11"/>
    </row>
    <row r="45" spans="1:10" x14ac:dyDescent="0.2">
      <c r="A45" s="5"/>
    </row>
    <row r="46" spans="1:10" ht="15" x14ac:dyDescent="0.25">
      <c r="A46" s="162" t="s">
        <v>15</v>
      </c>
      <c r="B46" s="162"/>
      <c r="C46" s="162"/>
      <c r="D46" s="162"/>
      <c r="E46" s="162"/>
      <c r="F46" s="162"/>
      <c r="I46" s="7"/>
      <c r="J46" s="7" t="s">
        <v>126</v>
      </c>
    </row>
    <row r="47" spans="1:10" ht="15" thickBot="1" x14ac:dyDescent="0.25">
      <c r="A47" s="5"/>
      <c r="I47" s="9"/>
      <c r="J47" s="9" t="s">
        <v>0</v>
      </c>
    </row>
    <row r="48" spans="1:10" ht="89.25" customHeight="1" thickBot="1" x14ac:dyDescent="0.25">
      <c r="A48" s="12" t="s">
        <v>16</v>
      </c>
      <c r="B48" s="12" t="s">
        <v>17</v>
      </c>
      <c r="C48" s="13" t="s">
        <v>18</v>
      </c>
      <c r="D48" s="12" t="s">
        <v>19</v>
      </c>
      <c r="E48" s="13" t="s">
        <v>124</v>
      </c>
      <c r="F48" s="12" t="s">
        <v>20</v>
      </c>
    </row>
    <row r="49" spans="1:6" ht="30.75" customHeight="1" x14ac:dyDescent="0.2">
      <c r="A49" s="27" t="s">
        <v>21</v>
      </c>
      <c r="B49" s="30" t="s">
        <v>22</v>
      </c>
      <c r="C49" s="31"/>
      <c r="D49" s="33">
        <v>14766574.210000001</v>
      </c>
      <c r="E49" s="34">
        <v>15211480</v>
      </c>
      <c r="F49" s="41">
        <v>14534225</v>
      </c>
    </row>
    <row r="50" spans="1:6" ht="21.75" customHeight="1" x14ac:dyDescent="0.2">
      <c r="A50" s="36"/>
      <c r="B50" s="30" t="s">
        <v>23</v>
      </c>
      <c r="C50" s="37"/>
      <c r="D50" s="36"/>
      <c r="E50" s="37"/>
      <c r="F50" s="36"/>
    </row>
    <row r="51" spans="1:6" ht="33" customHeight="1" x14ac:dyDescent="0.2">
      <c r="A51" s="27" t="s">
        <v>24</v>
      </c>
      <c r="B51" s="30" t="s">
        <v>25</v>
      </c>
      <c r="C51" s="31" t="s">
        <v>125</v>
      </c>
      <c r="D51" s="33">
        <v>3227605.6359999999</v>
      </c>
      <c r="E51" s="34">
        <v>3440510</v>
      </c>
      <c r="F51" s="33">
        <v>3440000</v>
      </c>
    </row>
    <row r="52" spans="1:6" ht="24" customHeight="1" x14ac:dyDescent="0.2">
      <c r="A52" s="27" t="s">
        <v>26</v>
      </c>
      <c r="B52" s="30" t="s">
        <v>27</v>
      </c>
      <c r="C52" s="31" t="s">
        <v>125</v>
      </c>
      <c r="D52" s="33">
        <f>D53+D54</f>
        <v>2083169.7919999999</v>
      </c>
      <c r="E52" s="33">
        <f t="shared" ref="E52:F52" si="0">E53+E54</f>
        <v>2408360</v>
      </c>
      <c r="F52" s="33">
        <f t="shared" si="0"/>
        <v>2405694</v>
      </c>
    </row>
    <row r="53" spans="1:6" ht="21" customHeight="1" x14ac:dyDescent="0.2">
      <c r="A53" s="36"/>
      <c r="B53" s="30" t="s">
        <v>28</v>
      </c>
      <c r="C53" s="31" t="s">
        <v>125</v>
      </c>
      <c r="D53" s="33">
        <v>1070377.4709999999</v>
      </c>
      <c r="E53" s="34">
        <v>1204430</v>
      </c>
      <c r="F53" s="33">
        <f>628416+994+168573+336839+88671+13976</f>
        <v>1237469</v>
      </c>
    </row>
    <row r="54" spans="1:6" ht="23.25" customHeight="1" x14ac:dyDescent="0.2">
      <c r="A54" s="36"/>
      <c r="B54" s="30" t="s">
        <v>29</v>
      </c>
      <c r="C54" s="31" t="s">
        <v>125</v>
      </c>
      <c r="D54" s="33">
        <f>169594.417+173217.734+171443.306+173801.016+163497.375+161238.473</f>
        <v>1012792.321</v>
      </c>
      <c r="E54" s="34">
        <v>1203930</v>
      </c>
      <c r="F54" s="33">
        <f>593207+983+159140+317991+83710+13194</f>
        <v>1168225</v>
      </c>
    </row>
    <row r="55" spans="1:6" ht="22.5" customHeight="1" x14ac:dyDescent="0.2">
      <c r="A55" s="27" t="s">
        <v>30</v>
      </c>
      <c r="B55" s="30" t="s">
        <v>31</v>
      </c>
      <c r="C55" s="31" t="s">
        <v>125</v>
      </c>
      <c r="D55" s="33">
        <f>D56+D57</f>
        <v>1144435.844</v>
      </c>
      <c r="E55" s="33">
        <f t="shared" ref="E55" si="1">E56+E57</f>
        <v>1032150</v>
      </c>
      <c r="F55" s="33">
        <f t="shared" ref="F55" si="2">F56+F57</f>
        <v>1034304</v>
      </c>
    </row>
    <row r="56" spans="1:6" ht="20.25" customHeight="1" x14ac:dyDescent="0.2">
      <c r="A56" s="36"/>
      <c r="B56" s="30" t="s">
        <v>28</v>
      </c>
      <c r="C56" s="31" t="s">
        <v>125</v>
      </c>
      <c r="D56" s="33">
        <v>615443.21400000004</v>
      </c>
      <c r="E56" s="34">
        <v>526200</v>
      </c>
      <c r="F56" s="33">
        <f>310657+605+52474+168301</f>
        <v>532037</v>
      </c>
    </row>
    <row r="57" spans="1:6" ht="21" customHeight="1" x14ac:dyDescent="0.2">
      <c r="A57" s="36"/>
      <c r="B57" s="30" t="s">
        <v>29</v>
      </c>
      <c r="C57" s="31" t="s">
        <v>125</v>
      </c>
      <c r="D57" s="33">
        <f>105686.709+102794.258+90904.062+79144.729+77936.445+72526.427</f>
        <v>528992.63</v>
      </c>
      <c r="E57" s="34">
        <v>505950</v>
      </c>
      <c r="F57" s="33">
        <f>293272+573+49538+158884</f>
        <v>502267</v>
      </c>
    </row>
    <row r="58" spans="1:6" ht="19.5" customHeight="1" x14ac:dyDescent="0.2">
      <c r="A58" s="36"/>
      <c r="B58" s="30" t="s">
        <v>23</v>
      </c>
      <c r="C58" s="31" t="s">
        <v>125</v>
      </c>
      <c r="D58" s="36"/>
      <c r="E58" s="37"/>
      <c r="F58" s="36"/>
    </row>
    <row r="59" spans="1:6" ht="73.5" customHeight="1" x14ac:dyDescent="0.2">
      <c r="A59" s="27" t="s">
        <v>32</v>
      </c>
      <c r="B59" s="30" t="s">
        <v>33</v>
      </c>
      <c r="C59" s="31" t="s">
        <v>125</v>
      </c>
      <c r="D59" s="33">
        <f>D60+D63</f>
        <v>387755.84400000004</v>
      </c>
      <c r="E59" s="33">
        <f t="shared" ref="E59:F59" si="3">E60+E63</f>
        <v>438581.79376069352</v>
      </c>
      <c r="F59" s="33">
        <f t="shared" si="3"/>
        <v>429725</v>
      </c>
    </row>
    <row r="60" spans="1:6" ht="24.75" customHeight="1" x14ac:dyDescent="0.2">
      <c r="A60" s="27" t="s">
        <v>34</v>
      </c>
      <c r="B60" s="30" t="s">
        <v>27</v>
      </c>
      <c r="C60" s="31" t="s">
        <v>125</v>
      </c>
      <c r="D60" s="33">
        <f>D61+D62</f>
        <v>274288.12800000003</v>
      </c>
      <c r="E60" s="33">
        <f t="shared" ref="E60" si="4">E61+E62</f>
        <v>335070.7372206935</v>
      </c>
      <c r="F60" s="33">
        <f t="shared" ref="F60" si="5">F61+F62</f>
        <v>327713</v>
      </c>
    </row>
    <row r="61" spans="1:6" ht="19.5" customHeight="1" x14ac:dyDescent="0.2">
      <c r="A61" s="36"/>
      <c r="B61" s="30" t="s">
        <v>28</v>
      </c>
      <c r="C61" s="31" t="s">
        <v>125</v>
      </c>
      <c r="D61" s="33">
        <v>143099.50900000005</v>
      </c>
      <c r="E61" s="34">
        <v>167861.0272206935</v>
      </c>
      <c r="F61" s="33">
        <v>168573</v>
      </c>
    </row>
    <row r="62" spans="1:6" ht="21" customHeight="1" x14ac:dyDescent="0.2">
      <c r="A62" s="36"/>
      <c r="B62" s="30" t="s">
        <v>29</v>
      </c>
      <c r="C62" s="31" t="s">
        <v>125</v>
      </c>
      <c r="D62" s="33">
        <f>22299.08+22486.764+22143.923+21881.957+21724.759+20652.136</f>
        <v>131188.61899999998</v>
      </c>
      <c r="E62" s="34">
        <v>167209.71</v>
      </c>
      <c r="F62" s="33">
        <v>159140</v>
      </c>
    </row>
    <row r="63" spans="1:6" ht="22.5" customHeight="1" x14ac:dyDescent="0.2">
      <c r="A63" s="27" t="s">
        <v>35</v>
      </c>
      <c r="B63" s="30" t="s">
        <v>31</v>
      </c>
      <c r="C63" s="31" t="s">
        <v>125</v>
      </c>
      <c r="D63" s="33">
        <f>D64+D65</f>
        <v>113467.716</v>
      </c>
      <c r="E63" s="33">
        <f t="shared" ref="E63" si="6">E64+E65</f>
        <v>103511.05654000001</v>
      </c>
      <c r="F63" s="33">
        <f t="shared" ref="F63" si="7">F64+F65</f>
        <v>102012</v>
      </c>
    </row>
    <row r="64" spans="1:6" ht="20.25" customHeight="1" x14ac:dyDescent="0.2">
      <c r="A64" s="36"/>
      <c r="B64" s="30" t="s">
        <v>28</v>
      </c>
      <c r="C64" s="31" t="s">
        <v>125</v>
      </c>
      <c r="D64" s="33">
        <v>61455.91</v>
      </c>
      <c r="E64" s="34">
        <v>51776.715640000002</v>
      </c>
      <c r="F64" s="33">
        <v>52474</v>
      </c>
    </row>
    <row r="65" spans="1:6" ht="21.75" customHeight="1" x14ac:dyDescent="0.2">
      <c r="A65" s="36"/>
      <c r="B65" s="30" t="s">
        <v>29</v>
      </c>
      <c r="C65" s="31" t="s">
        <v>125</v>
      </c>
      <c r="D65" s="33">
        <f>10789.758+9226.796+9154.467+7709.744+7235.852+7895.189</f>
        <v>52011.805999999997</v>
      </c>
      <c r="E65" s="34">
        <v>51734.340900000003</v>
      </c>
      <c r="F65" s="33">
        <v>49538</v>
      </c>
    </row>
    <row r="66" spans="1:6" ht="70.5" customHeight="1" x14ac:dyDescent="0.2">
      <c r="A66" s="27" t="s">
        <v>36</v>
      </c>
      <c r="B66" s="30" t="s">
        <v>37</v>
      </c>
      <c r="C66" s="31" t="s">
        <v>125</v>
      </c>
      <c r="D66" s="33">
        <f>D67+D70</f>
        <v>1051257.547</v>
      </c>
      <c r="E66" s="33">
        <f t="shared" ref="E66:F66" si="8">E67+E70</f>
        <v>1809267.9949797527</v>
      </c>
      <c r="F66" s="33">
        <f t="shared" si="8"/>
        <v>1825552</v>
      </c>
    </row>
    <row r="67" spans="1:6" ht="25.5" customHeight="1" x14ac:dyDescent="0.2">
      <c r="A67" s="27" t="s">
        <v>38</v>
      </c>
      <c r="B67" s="30" t="s">
        <v>27</v>
      </c>
      <c r="C67" s="31" t="s">
        <v>125</v>
      </c>
      <c r="D67" s="33">
        <f>D68+D69</f>
        <v>738833.93900000001</v>
      </c>
      <c r="E67" s="33">
        <f t="shared" ref="E67" si="9">E68+E69</f>
        <v>1216531.9468850729</v>
      </c>
      <c r="F67" s="33">
        <f t="shared" ref="F67" si="10">F68+F69</f>
        <v>1221623</v>
      </c>
    </row>
    <row r="68" spans="1:6" ht="25.5" customHeight="1" x14ac:dyDescent="0.2">
      <c r="A68" s="36"/>
      <c r="B68" s="30" t="s">
        <v>28</v>
      </c>
      <c r="C68" s="31" t="s">
        <v>125</v>
      </c>
      <c r="D68" s="33">
        <v>380694.56900000008</v>
      </c>
      <c r="E68" s="34">
        <v>609443.99688507279</v>
      </c>
      <c r="F68" s="33">
        <v>628416</v>
      </c>
    </row>
    <row r="69" spans="1:6" ht="25.5" customHeight="1" x14ac:dyDescent="0.2">
      <c r="A69" s="36"/>
      <c r="B69" s="30" t="s">
        <v>29</v>
      </c>
      <c r="C69" s="31" t="s">
        <v>125</v>
      </c>
      <c r="D69" s="33">
        <f>60586.294+61667.172+60648.236+59783.927+58137.049+57316.692</f>
        <v>358139.36999999994</v>
      </c>
      <c r="E69" s="34">
        <v>607087.95000000007</v>
      </c>
      <c r="F69" s="33">
        <v>593207</v>
      </c>
    </row>
    <row r="70" spans="1:6" ht="20.25" customHeight="1" x14ac:dyDescent="0.2">
      <c r="A70" s="27" t="s">
        <v>39</v>
      </c>
      <c r="B70" s="30" t="s">
        <v>31</v>
      </c>
      <c r="C70" s="31" t="s">
        <v>125</v>
      </c>
      <c r="D70" s="33">
        <f>D71+D72</f>
        <v>312423.60800000001</v>
      </c>
      <c r="E70" s="33">
        <f t="shared" ref="E70" si="11">E71+E72</f>
        <v>592736.04809467995</v>
      </c>
      <c r="F70" s="33">
        <f t="shared" ref="F70" si="12">F71+F72</f>
        <v>603929</v>
      </c>
    </row>
    <row r="71" spans="1:6" ht="24.75" customHeight="1" x14ac:dyDescent="0.2">
      <c r="A71" s="36"/>
      <c r="B71" s="30" t="s">
        <v>28</v>
      </c>
      <c r="C71" s="31" t="s">
        <v>125</v>
      </c>
      <c r="D71" s="33">
        <v>170538.69200000001</v>
      </c>
      <c r="E71" s="34">
        <v>300314.43809468002</v>
      </c>
      <c r="F71" s="33">
        <v>310657</v>
      </c>
    </row>
    <row r="72" spans="1:6" ht="24" customHeight="1" x14ac:dyDescent="0.2">
      <c r="A72" s="36"/>
      <c r="B72" s="30" t="s">
        <v>29</v>
      </c>
      <c r="C72" s="31" t="s">
        <v>125</v>
      </c>
      <c r="D72" s="33">
        <f>26214.105+26128.056+23579.987+23780.408+21620.944+20561.416</f>
        <v>141884.916</v>
      </c>
      <c r="E72" s="34">
        <v>292421.60999999993</v>
      </c>
      <c r="F72" s="33">
        <v>293272</v>
      </c>
    </row>
    <row r="73" spans="1:6" ht="75" customHeight="1" x14ac:dyDescent="0.2">
      <c r="A73" s="27" t="s">
        <v>40</v>
      </c>
      <c r="B73" s="30" t="s">
        <v>41</v>
      </c>
      <c r="C73" s="31" t="s">
        <v>125</v>
      </c>
      <c r="D73" s="33">
        <f>D74+D77</f>
        <v>51201.917000000001</v>
      </c>
      <c r="E73" s="168" t="s">
        <v>138</v>
      </c>
      <c r="F73" s="169"/>
    </row>
    <row r="74" spans="1:6" ht="25.5" customHeight="1" x14ac:dyDescent="0.2">
      <c r="A74" s="27" t="s">
        <v>42</v>
      </c>
      <c r="B74" s="30" t="s">
        <v>27</v>
      </c>
      <c r="C74" s="31" t="s">
        <v>125</v>
      </c>
      <c r="D74" s="33">
        <f>D75+D76</f>
        <v>11060.699000000001</v>
      </c>
      <c r="E74" s="168" t="s">
        <v>138</v>
      </c>
      <c r="F74" s="169"/>
    </row>
    <row r="75" spans="1:6" ht="24" customHeight="1" x14ac:dyDescent="0.2">
      <c r="A75" s="36"/>
      <c r="B75" s="30" t="s">
        <v>28</v>
      </c>
      <c r="C75" s="31" t="s">
        <v>125</v>
      </c>
      <c r="D75" s="33">
        <v>5579.2170000000006</v>
      </c>
      <c r="E75" s="168" t="s">
        <v>138</v>
      </c>
      <c r="F75" s="169"/>
    </row>
    <row r="76" spans="1:6" ht="24" customHeight="1" x14ac:dyDescent="0.2">
      <c r="A76" s="36"/>
      <c r="B76" s="30" t="s">
        <v>29</v>
      </c>
      <c r="C76" s="31" t="s">
        <v>125</v>
      </c>
      <c r="D76" s="33">
        <f>1104.081+1062.126+1019.355+803.514+552.616+939.79</f>
        <v>5481.482</v>
      </c>
      <c r="E76" s="168" t="s">
        <v>138</v>
      </c>
      <c r="F76" s="169"/>
    </row>
    <row r="77" spans="1:6" ht="24" customHeight="1" x14ac:dyDescent="0.2">
      <c r="A77" s="27" t="s">
        <v>43</v>
      </c>
      <c r="B77" s="30" t="s">
        <v>31</v>
      </c>
      <c r="C77" s="31" t="s">
        <v>125</v>
      </c>
      <c r="D77" s="33">
        <f>D78+D79</f>
        <v>40141.218000000001</v>
      </c>
      <c r="E77" s="168" t="s">
        <v>138</v>
      </c>
      <c r="F77" s="169"/>
    </row>
    <row r="78" spans="1:6" ht="24.75" customHeight="1" x14ac:dyDescent="0.2">
      <c r="A78" s="36"/>
      <c r="B78" s="30" t="s">
        <v>28</v>
      </c>
      <c r="C78" s="31" t="s">
        <v>125</v>
      </c>
      <c r="D78" s="33">
        <v>24077.21</v>
      </c>
      <c r="E78" s="168" t="s">
        <v>138</v>
      </c>
      <c r="F78" s="169"/>
    </row>
    <row r="79" spans="1:6" ht="22.5" customHeight="1" x14ac:dyDescent="0.2">
      <c r="A79" s="36"/>
      <c r="B79" s="30" t="s">
        <v>29</v>
      </c>
      <c r="C79" s="31" t="s">
        <v>125</v>
      </c>
      <c r="D79" s="33">
        <f>3934.356+3536.145+2654.608+2045.841+1868.202+2024.856</f>
        <v>16064.008</v>
      </c>
      <c r="E79" s="168" t="s">
        <v>138</v>
      </c>
      <c r="F79" s="169"/>
    </row>
    <row r="80" spans="1:6" ht="80.25" customHeight="1" x14ac:dyDescent="0.2">
      <c r="A80" s="27" t="s">
        <v>44</v>
      </c>
      <c r="B80" s="30" t="s">
        <v>45</v>
      </c>
      <c r="C80" s="31" t="s">
        <v>125</v>
      </c>
      <c r="D80" s="33">
        <f>D81+D84</f>
        <v>1102459.4640000002</v>
      </c>
      <c r="E80" s="168" t="s">
        <v>138</v>
      </c>
      <c r="F80" s="169"/>
    </row>
    <row r="81" spans="1:6" ht="30" customHeight="1" x14ac:dyDescent="0.2">
      <c r="A81" s="27" t="s">
        <v>46</v>
      </c>
      <c r="B81" s="30" t="s">
        <v>27</v>
      </c>
      <c r="C81" s="31" t="s">
        <v>125</v>
      </c>
      <c r="D81" s="33">
        <f>D82+D83</f>
        <v>749894.63800000004</v>
      </c>
      <c r="E81" s="168" t="s">
        <v>138</v>
      </c>
      <c r="F81" s="169"/>
    </row>
    <row r="82" spans="1:6" ht="25.5" customHeight="1" x14ac:dyDescent="0.2">
      <c r="A82" s="36"/>
      <c r="B82" s="30" t="s">
        <v>28</v>
      </c>
      <c r="C82" s="31" t="s">
        <v>125</v>
      </c>
      <c r="D82" s="33">
        <v>386273.78600000002</v>
      </c>
      <c r="E82" s="168" t="s">
        <v>138</v>
      </c>
      <c r="F82" s="169"/>
    </row>
    <row r="83" spans="1:6" ht="25.5" customHeight="1" x14ac:dyDescent="0.2">
      <c r="A83" s="36"/>
      <c r="B83" s="30" t="s">
        <v>29</v>
      </c>
      <c r="C83" s="31" t="s">
        <v>125</v>
      </c>
      <c r="D83" s="33">
        <f>61690.375+62729.298+61667.591+60587.441+58689.665+58256.482</f>
        <v>363620.85200000001</v>
      </c>
      <c r="E83" s="168" t="s">
        <v>138</v>
      </c>
      <c r="F83" s="169"/>
    </row>
    <row r="84" spans="1:6" ht="24.75" customHeight="1" x14ac:dyDescent="0.2">
      <c r="A84" s="27" t="s">
        <v>47</v>
      </c>
      <c r="B84" s="30" t="s">
        <v>31</v>
      </c>
      <c r="C84" s="31" t="s">
        <v>125</v>
      </c>
      <c r="D84" s="33">
        <f>D85+D86</f>
        <v>352564.826</v>
      </c>
      <c r="E84" s="168" t="s">
        <v>138</v>
      </c>
      <c r="F84" s="169"/>
    </row>
    <row r="85" spans="1:6" ht="25.5" customHeight="1" x14ac:dyDescent="0.2">
      <c r="A85" s="36"/>
      <c r="B85" s="30" t="s">
        <v>28</v>
      </c>
      <c r="C85" s="31" t="s">
        <v>125</v>
      </c>
      <c r="D85" s="33">
        <v>194615.902</v>
      </c>
      <c r="E85" s="168" t="s">
        <v>138</v>
      </c>
      <c r="F85" s="169"/>
    </row>
    <row r="86" spans="1:6" ht="24.75" customHeight="1" x14ac:dyDescent="0.2">
      <c r="A86" s="36"/>
      <c r="B86" s="30" t="s">
        <v>29</v>
      </c>
      <c r="C86" s="31" t="s">
        <v>125</v>
      </c>
      <c r="D86" s="33">
        <f>30148.461+29664.201+26234.595+25826.249+23489.146+22586.272</f>
        <v>157948.924</v>
      </c>
      <c r="E86" s="168" t="s">
        <v>138</v>
      </c>
      <c r="F86" s="169"/>
    </row>
    <row r="87" spans="1:6" ht="33" customHeight="1" x14ac:dyDescent="0.2">
      <c r="A87" s="27" t="s">
        <v>48</v>
      </c>
      <c r="B87" s="30" t="s">
        <v>49</v>
      </c>
      <c r="C87" s="31" t="s">
        <v>125</v>
      </c>
      <c r="D87" s="33">
        <f>D88+D91</f>
        <v>902743.68900000001</v>
      </c>
      <c r="E87" s="33">
        <f t="shared" ref="E87:F87" si="13">E88+E91</f>
        <v>1005170.6712595448</v>
      </c>
      <c r="F87" s="33">
        <f t="shared" si="13"/>
        <v>982015</v>
      </c>
    </row>
    <row r="88" spans="1:6" ht="25.5" customHeight="1" x14ac:dyDescent="0.2">
      <c r="A88" s="27" t="s">
        <v>50</v>
      </c>
      <c r="B88" s="30" t="s">
        <v>27</v>
      </c>
      <c r="C88" s="31" t="s">
        <v>125</v>
      </c>
      <c r="D88" s="33">
        <f>D89+D90</f>
        <v>530986.24199999997</v>
      </c>
      <c r="E88" s="33">
        <f t="shared" ref="E88:F88" si="14">E89+E90</f>
        <v>670643.0758942191</v>
      </c>
      <c r="F88" s="33">
        <f t="shared" si="14"/>
        <v>654830</v>
      </c>
    </row>
    <row r="89" spans="1:6" ht="24.75" customHeight="1" x14ac:dyDescent="0.2">
      <c r="A89" s="36"/>
      <c r="B89" s="30" t="s">
        <v>28</v>
      </c>
      <c r="C89" s="31" t="s">
        <v>125</v>
      </c>
      <c r="D89" s="33">
        <v>275244.00499999995</v>
      </c>
      <c r="E89" s="34">
        <v>335215.48589421908</v>
      </c>
      <c r="F89" s="33">
        <v>336839</v>
      </c>
    </row>
    <row r="90" spans="1:6" ht="21.75" customHeight="1" x14ac:dyDescent="0.2">
      <c r="A90" s="36"/>
      <c r="B90" s="30" t="s">
        <v>29</v>
      </c>
      <c r="C90" s="31" t="s">
        <v>125</v>
      </c>
      <c r="D90" s="33">
        <f>41918.436+44259.918+43283.451+42463.983+42259.654+41556.795</f>
        <v>255742.23700000002</v>
      </c>
      <c r="E90" s="34">
        <v>335427.59000000003</v>
      </c>
      <c r="F90" s="33">
        <v>317991</v>
      </c>
    </row>
    <row r="91" spans="1:6" ht="27" customHeight="1" x14ac:dyDescent="0.2">
      <c r="A91" s="27" t="s">
        <v>51</v>
      </c>
      <c r="B91" s="30" t="s">
        <v>31</v>
      </c>
      <c r="C91" s="31" t="s">
        <v>125</v>
      </c>
      <c r="D91" s="33">
        <f>D92+D93</f>
        <v>371757.44699999999</v>
      </c>
      <c r="E91" s="33">
        <f t="shared" ref="E91" si="15">E92+E93</f>
        <v>334527.59536532569</v>
      </c>
      <c r="F91" s="33">
        <f t="shared" ref="F91" si="16">F92+F93</f>
        <v>327185</v>
      </c>
    </row>
    <row r="92" spans="1:6" ht="25.5" customHeight="1" x14ac:dyDescent="0.2">
      <c r="A92" s="36"/>
      <c r="B92" s="30" t="s">
        <v>28</v>
      </c>
      <c r="C92" s="31" t="s">
        <v>125</v>
      </c>
      <c r="D92" s="33">
        <v>209361.70899999997</v>
      </c>
      <c r="E92" s="34">
        <v>173416.64626532569</v>
      </c>
      <c r="F92" s="33">
        <v>168301</v>
      </c>
    </row>
    <row r="93" spans="1:6" ht="24" customHeight="1" x14ac:dyDescent="0.2">
      <c r="A93" s="36"/>
      <c r="B93" s="30" t="s">
        <v>29</v>
      </c>
      <c r="C93" s="31" t="s">
        <v>125</v>
      </c>
      <c r="D93" s="33">
        <f>36016.624+30977.127+26848.539+21734.654+23481.167+23337.627</f>
        <v>162395.73800000001</v>
      </c>
      <c r="E93" s="34">
        <v>161110.9491</v>
      </c>
      <c r="F93" s="33">
        <v>158884</v>
      </c>
    </row>
    <row r="94" spans="1:6" ht="32.25" customHeight="1" x14ac:dyDescent="0.2">
      <c r="A94" s="27" t="s">
        <v>52</v>
      </c>
      <c r="B94" s="30" t="s">
        <v>53</v>
      </c>
      <c r="C94" s="31" t="s">
        <v>125</v>
      </c>
      <c r="D94" s="33">
        <v>834646.63899999997</v>
      </c>
      <c r="E94" s="34">
        <v>184060.14</v>
      </c>
      <c r="F94" s="27">
        <v>199551</v>
      </c>
    </row>
    <row r="95" spans="1:6" ht="29.25" customHeight="1" x14ac:dyDescent="0.2">
      <c r="A95" s="27" t="s">
        <v>54</v>
      </c>
      <c r="B95" s="30" t="s">
        <v>27</v>
      </c>
      <c r="C95" s="31" t="s">
        <v>125</v>
      </c>
      <c r="D95" s="33">
        <v>528000.78399999999</v>
      </c>
      <c r="E95" s="168" t="s">
        <v>138</v>
      </c>
      <c r="F95" s="169"/>
    </row>
    <row r="96" spans="1:6" ht="25.5" customHeight="1" x14ac:dyDescent="0.2">
      <c r="A96" s="36"/>
      <c r="B96" s="30" t="s">
        <v>28</v>
      </c>
      <c r="C96" s="31" t="s">
        <v>125</v>
      </c>
      <c r="D96" s="33">
        <v>265760.17099999997</v>
      </c>
      <c r="E96" s="168" t="s">
        <v>138</v>
      </c>
      <c r="F96" s="169"/>
    </row>
    <row r="97" spans="1:6" ht="24" customHeight="1" x14ac:dyDescent="0.2">
      <c r="A97" s="36"/>
      <c r="B97" s="30" t="s">
        <v>29</v>
      </c>
      <c r="C97" s="31" t="s">
        <v>125</v>
      </c>
      <c r="D97" s="33">
        <f>43686.526+43741.754+44348.341+48867.635+40823.297+40773.06</f>
        <v>262240.61300000001</v>
      </c>
      <c r="E97" s="168" t="s">
        <v>138</v>
      </c>
      <c r="F97" s="169"/>
    </row>
    <row r="98" spans="1:6" ht="24" customHeight="1" x14ac:dyDescent="0.2">
      <c r="A98" s="27" t="s">
        <v>55</v>
      </c>
      <c r="B98" s="30" t="s">
        <v>31</v>
      </c>
      <c r="C98" s="31" t="s">
        <v>125</v>
      </c>
      <c r="D98" s="33">
        <v>306646</v>
      </c>
      <c r="E98" s="168" t="s">
        <v>138</v>
      </c>
      <c r="F98" s="169"/>
    </row>
    <row r="99" spans="1:6" ht="25.5" customHeight="1" x14ac:dyDescent="0.2">
      <c r="A99" s="36"/>
      <c r="B99" s="30" t="s">
        <v>28</v>
      </c>
      <c r="C99" s="31" t="s">
        <v>125</v>
      </c>
      <c r="D99" s="33">
        <v>150009.693</v>
      </c>
      <c r="E99" s="168" t="s">
        <v>138</v>
      </c>
      <c r="F99" s="169"/>
    </row>
    <row r="100" spans="1:6" ht="22.5" customHeight="1" x14ac:dyDescent="0.2">
      <c r="A100" s="36"/>
      <c r="B100" s="30" t="s">
        <v>29</v>
      </c>
      <c r="C100" s="31" t="s">
        <v>125</v>
      </c>
      <c r="D100" s="33">
        <f>28731.866+32926.134+28666.461+23874.082+23730.28+18707.339</f>
        <v>156636.16199999998</v>
      </c>
      <c r="E100" s="168" t="s">
        <v>138</v>
      </c>
      <c r="F100" s="169"/>
    </row>
    <row r="101" spans="1:6" ht="80.25" customHeight="1" x14ac:dyDescent="0.2">
      <c r="A101" s="27" t="s">
        <v>56</v>
      </c>
      <c r="B101" s="30" t="s">
        <v>57</v>
      </c>
      <c r="C101" s="31" t="s">
        <v>125</v>
      </c>
      <c r="D101" s="33">
        <f>D102+D105+D108+D111</f>
        <v>8702423.3900000006</v>
      </c>
      <c r="E101" s="33">
        <f t="shared" ref="E101:F101" si="17">E102+E105+E108+E111</f>
        <v>8207662.6999999993</v>
      </c>
      <c r="F101" s="33">
        <f t="shared" si="17"/>
        <v>7944013.5</v>
      </c>
    </row>
    <row r="102" spans="1:6" ht="21.75" customHeight="1" x14ac:dyDescent="0.2">
      <c r="A102" s="36"/>
      <c r="B102" s="30" t="s">
        <v>58</v>
      </c>
      <c r="C102" s="31" t="s">
        <v>125</v>
      </c>
      <c r="D102" s="33">
        <f>D103+D104</f>
        <v>1702370.6310000001</v>
      </c>
      <c r="E102" s="33">
        <f t="shared" ref="E102:F102" si="18">E103+E104</f>
        <v>905482.23</v>
      </c>
      <c r="F102" s="33">
        <f t="shared" si="18"/>
        <v>1182480.253</v>
      </c>
    </row>
    <row r="103" spans="1:6" ht="23.25" customHeight="1" x14ac:dyDescent="0.2">
      <c r="A103" s="36"/>
      <c r="B103" s="30" t="s">
        <v>28</v>
      </c>
      <c r="C103" s="31" t="s">
        <v>125</v>
      </c>
      <c r="D103" s="33">
        <v>894397.74300000002</v>
      </c>
      <c r="E103" s="34">
        <v>454139.87</v>
      </c>
      <c r="F103" s="33">
        <v>655338.36499999999</v>
      </c>
    </row>
    <row r="104" spans="1:6" ht="21" customHeight="1" x14ac:dyDescent="0.2">
      <c r="A104" s="36"/>
      <c r="B104" s="30" t="s">
        <v>29</v>
      </c>
      <c r="C104" s="31" t="s">
        <v>125</v>
      </c>
      <c r="D104" s="33">
        <v>807972.88800000004</v>
      </c>
      <c r="E104" s="34">
        <v>451342.36</v>
      </c>
      <c r="F104" s="33">
        <v>527141.88800000004</v>
      </c>
    </row>
    <row r="105" spans="1:6" ht="24.75" customHeight="1" x14ac:dyDescent="0.2">
      <c r="A105" s="36"/>
      <c r="B105" s="30" t="s">
        <v>59</v>
      </c>
      <c r="C105" s="31" t="s">
        <v>125</v>
      </c>
      <c r="D105" s="33">
        <f>D106+D107</f>
        <v>1588786.8689999999</v>
      </c>
      <c r="E105" s="33">
        <f t="shared" ref="E105" si="19">E106+E107</f>
        <v>1152699.73</v>
      </c>
      <c r="F105" s="33">
        <f t="shared" ref="F105" si="20">F106+F107</f>
        <v>1292513.9700000002</v>
      </c>
    </row>
    <row r="106" spans="1:6" ht="23.25" customHeight="1" x14ac:dyDescent="0.2">
      <c r="A106" s="36"/>
      <c r="B106" s="30" t="s">
        <v>28</v>
      </c>
      <c r="C106" s="31" t="s">
        <v>125</v>
      </c>
      <c r="D106" s="33">
        <v>814060.29299999995</v>
      </c>
      <c r="E106" s="34">
        <v>620118.34</v>
      </c>
      <c r="F106" s="33">
        <v>688881.84900000005</v>
      </c>
    </row>
    <row r="107" spans="1:6" ht="21.75" customHeight="1" x14ac:dyDescent="0.2">
      <c r="A107" s="36"/>
      <c r="B107" s="30" t="s">
        <v>29</v>
      </c>
      <c r="C107" s="31" t="s">
        <v>125</v>
      </c>
      <c r="D107" s="33">
        <v>774726.576</v>
      </c>
      <c r="E107" s="34">
        <v>532581.39</v>
      </c>
      <c r="F107" s="33">
        <v>603632.12100000004</v>
      </c>
    </row>
    <row r="108" spans="1:6" ht="23.25" customHeight="1" x14ac:dyDescent="0.2">
      <c r="A108" s="36"/>
      <c r="B108" s="30" t="s">
        <v>60</v>
      </c>
      <c r="C108" s="31" t="s">
        <v>125</v>
      </c>
      <c r="D108" s="33">
        <f>D109+D110</f>
        <v>2564156.9849999999</v>
      </c>
      <c r="E108" s="33">
        <f t="shared" ref="E108" si="21">E109+E110</f>
        <v>2652708.81</v>
      </c>
      <c r="F108" s="33">
        <f t="shared" ref="F108" si="22">F109+F110</f>
        <v>2617374.4819999998</v>
      </c>
    </row>
    <row r="109" spans="1:6" ht="24.75" customHeight="1" x14ac:dyDescent="0.2">
      <c r="A109" s="36"/>
      <c r="B109" s="30" t="s">
        <v>28</v>
      </c>
      <c r="C109" s="31" t="s">
        <v>125</v>
      </c>
      <c r="D109" s="33">
        <v>1373793.504</v>
      </c>
      <c r="E109" s="34">
        <v>1398826.47</v>
      </c>
      <c r="F109" s="33">
        <v>1407358.8940000001</v>
      </c>
    </row>
    <row r="110" spans="1:6" ht="22.5" customHeight="1" x14ac:dyDescent="0.2">
      <c r="A110" s="36"/>
      <c r="B110" s="30" t="s">
        <v>29</v>
      </c>
      <c r="C110" s="31" t="s">
        <v>125</v>
      </c>
      <c r="D110" s="33">
        <v>1190363.4809999999</v>
      </c>
      <c r="E110" s="34">
        <v>1253882.3400000001</v>
      </c>
      <c r="F110" s="33">
        <v>1210015.588</v>
      </c>
    </row>
    <row r="111" spans="1:6" ht="25.5" customHeight="1" x14ac:dyDescent="0.2">
      <c r="A111" s="36"/>
      <c r="B111" s="30" t="s">
        <v>61</v>
      </c>
      <c r="C111" s="31" t="s">
        <v>125</v>
      </c>
      <c r="D111" s="33">
        <f>D112+D113</f>
        <v>2847108.9050000003</v>
      </c>
      <c r="E111" s="33">
        <f t="shared" ref="E111" si="23">E112+E113</f>
        <v>3496771.9299999997</v>
      </c>
      <c r="F111" s="33">
        <f t="shared" ref="F111" si="24">F112+F113</f>
        <v>2851644.7949999999</v>
      </c>
    </row>
    <row r="112" spans="1:6" ht="26.25" customHeight="1" x14ac:dyDescent="0.2">
      <c r="A112" s="36"/>
      <c r="B112" s="30" t="s">
        <v>28</v>
      </c>
      <c r="C112" s="31" t="s">
        <v>125</v>
      </c>
      <c r="D112" s="33">
        <v>1504164.101</v>
      </c>
      <c r="E112" s="34">
        <v>1887389.41</v>
      </c>
      <c r="F112" s="33">
        <v>1468855.085</v>
      </c>
    </row>
    <row r="113" spans="1:6" ht="24" customHeight="1" x14ac:dyDescent="0.2">
      <c r="A113" s="36"/>
      <c r="B113" s="30" t="s">
        <v>29</v>
      </c>
      <c r="C113" s="31" t="s">
        <v>125</v>
      </c>
      <c r="D113" s="33">
        <v>1342944.804</v>
      </c>
      <c r="E113" s="34">
        <v>1609382.52</v>
      </c>
      <c r="F113" s="33">
        <v>1382789.71</v>
      </c>
    </row>
    <row r="114" spans="1:6" ht="68.25" customHeight="1" x14ac:dyDescent="0.2">
      <c r="A114" s="27" t="s">
        <v>62</v>
      </c>
      <c r="B114" s="30" t="s">
        <v>63</v>
      </c>
      <c r="C114" s="31" t="s">
        <v>125</v>
      </c>
      <c r="D114" s="33">
        <f>D115+D116</f>
        <v>2784648.9440000001</v>
      </c>
      <c r="E114" s="33">
        <f t="shared" ref="E114:F114" si="25">E115+E116</f>
        <v>3343909.2</v>
      </c>
      <c r="F114" s="33">
        <f t="shared" si="25"/>
        <v>3096411</v>
      </c>
    </row>
    <row r="115" spans="1:6" ht="25.5" customHeight="1" x14ac:dyDescent="0.2">
      <c r="A115" s="36"/>
      <c r="B115" s="30" t="s">
        <v>64</v>
      </c>
      <c r="C115" s="31" t="s">
        <v>125</v>
      </c>
      <c r="D115" s="33">
        <v>1477127.4080000001</v>
      </c>
      <c r="E115" s="34">
        <v>1742601.81</v>
      </c>
      <c r="F115" s="33">
        <v>1619960</v>
      </c>
    </row>
    <row r="116" spans="1:6" ht="25.5" customHeight="1" x14ac:dyDescent="0.2">
      <c r="A116" s="36"/>
      <c r="B116" s="30" t="s">
        <v>65</v>
      </c>
      <c r="C116" s="31" t="s">
        <v>125</v>
      </c>
      <c r="D116" s="33">
        <v>1307521.5360000001</v>
      </c>
      <c r="E116" s="34">
        <v>1601307.39</v>
      </c>
      <c r="F116" s="33">
        <v>1476451</v>
      </c>
    </row>
    <row r="117" spans="1:6" ht="28.5" x14ac:dyDescent="0.2">
      <c r="A117" s="27" t="s">
        <v>66</v>
      </c>
      <c r="B117" s="30" t="s">
        <v>67</v>
      </c>
      <c r="C117" s="31" t="s">
        <v>70</v>
      </c>
      <c r="D117" s="27">
        <f>D119+D120</f>
        <v>1010.468</v>
      </c>
      <c r="E117" s="27">
        <f t="shared" ref="E117:F117" si="26">E119+E120</f>
        <v>1013.3390000000001</v>
      </c>
      <c r="F117" s="27">
        <f t="shared" si="26"/>
        <v>1018.7110000000001</v>
      </c>
    </row>
    <row r="118" spans="1:6" ht="18" customHeight="1" x14ac:dyDescent="0.2">
      <c r="A118" s="36"/>
      <c r="B118" s="30" t="s">
        <v>23</v>
      </c>
      <c r="C118" s="37"/>
      <c r="D118" s="36"/>
      <c r="E118" s="37"/>
      <c r="F118" s="36"/>
    </row>
    <row r="119" spans="1:6" ht="32.25" customHeight="1" x14ac:dyDescent="0.2">
      <c r="A119" s="27" t="s">
        <v>68</v>
      </c>
      <c r="B119" s="30" t="s">
        <v>69</v>
      </c>
      <c r="C119" s="31" t="s">
        <v>70</v>
      </c>
      <c r="D119" s="27">
        <f>2834/1000+977889/1000</f>
        <v>980.72299999999996</v>
      </c>
      <c r="E119" s="31">
        <f>2615/1000+982556/1000</f>
        <v>985.17100000000005</v>
      </c>
      <c r="F119" s="27">
        <f>2594/1000+987114/1000</f>
        <v>989.70800000000008</v>
      </c>
    </row>
    <row r="120" spans="1:6" ht="78" customHeight="1" x14ac:dyDescent="0.2">
      <c r="A120" s="27" t="s">
        <v>71</v>
      </c>
      <c r="B120" s="30" t="s">
        <v>72</v>
      </c>
      <c r="C120" s="31" t="s">
        <v>70</v>
      </c>
      <c r="D120" s="27">
        <f>D121+D122+D123+D124</f>
        <v>29.745000000000005</v>
      </c>
      <c r="E120" s="27">
        <f t="shared" ref="E120:F120" si="27">E121+E122+E123+E124</f>
        <v>28.167999999999999</v>
      </c>
      <c r="F120" s="27">
        <f t="shared" si="27"/>
        <v>29.003000000000004</v>
      </c>
    </row>
    <row r="121" spans="1:6" ht="24.75" customHeight="1" x14ac:dyDescent="0.2">
      <c r="A121" s="36"/>
      <c r="B121" s="30" t="s">
        <v>58</v>
      </c>
      <c r="C121" s="31" t="s">
        <v>70</v>
      </c>
      <c r="D121" s="27">
        <f>26609/1000</f>
        <v>26.609000000000002</v>
      </c>
      <c r="E121" s="31">
        <f>25173/1000</f>
        <v>25.172999999999998</v>
      </c>
      <c r="F121" s="27">
        <f>25911/1000</f>
        <v>25.911000000000001</v>
      </c>
    </row>
    <row r="122" spans="1:6" ht="22.5" customHeight="1" x14ac:dyDescent="0.2">
      <c r="A122" s="36"/>
      <c r="B122" s="30" t="s">
        <v>59</v>
      </c>
      <c r="C122" s="31" t="s">
        <v>70</v>
      </c>
      <c r="D122" s="27">
        <f>2608/1000</f>
        <v>2.6080000000000001</v>
      </c>
      <c r="E122" s="31">
        <f>2497/1000</f>
        <v>2.4969999999999999</v>
      </c>
      <c r="F122" s="27">
        <f>2591/1000</f>
        <v>2.5910000000000002</v>
      </c>
    </row>
    <row r="123" spans="1:6" ht="21" customHeight="1" x14ac:dyDescent="0.2">
      <c r="A123" s="36"/>
      <c r="B123" s="30" t="s">
        <v>60</v>
      </c>
      <c r="C123" s="31" t="s">
        <v>70</v>
      </c>
      <c r="D123" s="27">
        <f>495/1000</f>
        <v>0.495</v>
      </c>
      <c r="E123" s="31">
        <f>468/1000</f>
        <v>0.46800000000000003</v>
      </c>
      <c r="F123" s="27">
        <f>471/1000</f>
        <v>0.47099999999999997</v>
      </c>
    </row>
    <row r="124" spans="1:6" ht="24" customHeight="1" x14ac:dyDescent="0.2">
      <c r="A124" s="36"/>
      <c r="B124" s="30" t="s">
        <v>61</v>
      </c>
      <c r="C124" s="31" t="s">
        <v>70</v>
      </c>
      <c r="D124" s="27">
        <f>33/1000</f>
        <v>3.3000000000000002E-2</v>
      </c>
      <c r="E124" s="31">
        <f>30/1000</f>
        <v>0.03</v>
      </c>
      <c r="F124" s="27">
        <f>30/1000</f>
        <v>0.03</v>
      </c>
    </row>
    <row r="125" spans="1:6" ht="62.25" customHeight="1" x14ac:dyDescent="0.2">
      <c r="A125" s="27" t="s">
        <v>73</v>
      </c>
      <c r="B125" s="30" t="s">
        <v>74</v>
      </c>
      <c r="C125" s="31" t="s">
        <v>70</v>
      </c>
      <c r="D125" s="42">
        <v>7.0000000000000007E-2</v>
      </c>
      <c r="E125" s="31">
        <v>7.1999999999999995E-2</v>
      </c>
      <c r="F125" s="27">
        <v>8.1000000000000003E-2</v>
      </c>
    </row>
    <row r="126" spans="1:6" ht="35.25" customHeight="1" x14ac:dyDescent="0.2">
      <c r="A126" s="27" t="s">
        <v>75</v>
      </c>
      <c r="B126" s="15" t="s">
        <v>76</v>
      </c>
      <c r="C126" s="31" t="s">
        <v>79</v>
      </c>
      <c r="D126" s="33">
        <v>1180010</v>
      </c>
      <c r="E126" s="34">
        <v>1185201</v>
      </c>
      <c r="F126" s="33">
        <v>1192458</v>
      </c>
    </row>
    <row r="127" spans="1:6" ht="24.75" customHeight="1" x14ac:dyDescent="0.2">
      <c r="A127" s="36"/>
      <c r="B127" s="30" t="s">
        <v>23</v>
      </c>
      <c r="C127" s="37"/>
      <c r="D127" s="33"/>
      <c r="E127" s="34"/>
      <c r="F127" s="33"/>
    </row>
    <row r="128" spans="1:6" ht="33" customHeight="1" x14ac:dyDescent="0.2">
      <c r="A128" s="27" t="s">
        <v>77</v>
      </c>
      <c r="B128" s="15" t="s">
        <v>78</v>
      </c>
      <c r="C128" s="31" t="s">
        <v>79</v>
      </c>
      <c r="D128" s="33">
        <v>1094420</v>
      </c>
      <c r="E128" s="34">
        <v>1099770</v>
      </c>
      <c r="F128" s="33">
        <v>1104590</v>
      </c>
    </row>
    <row r="129" spans="1:6" ht="78.75" customHeight="1" x14ac:dyDescent="0.2">
      <c r="A129" s="27" t="s">
        <v>80</v>
      </c>
      <c r="B129" s="15" t="s">
        <v>81</v>
      </c>
      <c r="C129" s="31" t="s">
        <v>79</v>
      </c>
      <c r="D129" s="33">
        <v>85590</v>
      </c>
      <c r="E129" s="34">
        <v>85431</v>
      </c>
      <c r="F129" s="33">
        <v>87868</v>
      </c>
    </row>
    <row r="130" spans="1:6" ht="24.75" customHeight="1" x14ac:dyDescent="0.2">
      <c r="A130" s="36"/>
      <c r="B130" s="38" t="s">
        <v>58</v>
      </c>
      <c r="C130" s="18" t="s">
        <v>79</v>
      </c>
      <c r="D130" s="33">
        <v>55021</v>
      </c>
      <c r="E130" s="34">
        <v>55122</v>
      </c>
      <c r="F130" s="33">
        <v>56739</v>
      </c>
    </row>
    <row r="131" spans="1:6" ht="26.25" customHeight="1" x14ac:dyDescent="0.2">
      <c r="A131" s="36"/>
      <c r="B131" s="38" t="s">
        <v>59</v>
      </c>
      <c r="C131" s="18" t="s">
        <v>79</v>
      </c>
      <c r="D131" s="33">
        <v>20603</v>
      </c>
      <c r="E131" s="34">
        <v>20410</v>
      </c>
      <c r="F131" s="33">
        <v>21179</v>
      </c>
    </row>
    <row r="132" spans="1:6" ht="26.25" customHeight="1" x14ac:dyDescent="0.2">
      <c r="A132" s="36"/>
      <c r="B132" s="38" t="s">
        <v>60</v>
      </c>
      <c r="C132" s="18" t="s">
        <v>79</v>
      </c>
      <c r="D132" s="33">
        <v>8037.0000000000009</v>
      </c>
      <c r="E132" s="34">
        <v>8021.0000000000009</v>
      </c>
      <c r="F132" s="33">
        <v>8071.9999999999991</v>
      </c>
    </row>
    <row r="133" spans="1:6" ht="25.5" customHeight="1" x14ac:dyDescent="0.2">
      <c r="A133" s="36"/>
      <c r="B133" s="38" t="s">
        <v>61</v>
      </c>
      <c r="C133" s="18" t="s">
        <v>79</v>
      </c>
      <c r="D133" s="33">
        <v>1929</v>
      </c>
      <c r="E133" s="34">
        <v>1878</v>
      </c>
      <c r="F133" s="33">
        <v>1878</v>
      </c>
    </row>
    <row r="134" spans="1:6" ht="27.75" customHeight="1" x14ac:dyDescent="0.2">
      <c r="A134" s="27" t="s">
        <v>82</v>
      </c>
      <c r="B134" s="38" t="s">
        <v>83</v>
      </c>
      <c r="C134" s="18" t="s">
        <v>79</v>
      </c>
      <c r="D134" s="17"/>
      <c r="E134" s="16"/>
      <c r="F134" s="17"/>
    </row>
    <row r="135" spans="1:6" ht="32.25" customHeight="1" x14ac:dyDescent="0.2">
      <c r="A135" s="27" t="s">
        <v>84</v>
      </c>
      <c r="B135" s="30" t="s">
        <v>85</v>
      </c>
      <c r="C135" s="31" t="s">
        <v>86</v>
      </c>
      <c r="D135" s="33">
        <v>1269697.4535823399</v>
      </c>
      <c r="E135" s="34">
        <v>1402256</v>
      </c>
      <c r="F135" s="33">
        <v>2863363</v>
      </c>
    </row>
    <row r="136" spans="1:6" ht="42.75" x14ac:dyDescent="0.2">
      <c r="A136" s="27" t="s">
        <v>87</v>
      </c>
      <c r="B136" s="15" t="s">
        <v>88</v>
      </c>
      <c r="C136" s="16"/>
      <c r="D136" s="17"/>
      <c r="E136" s="16"/>
      <c r="F136" s="17"/>
    </row>
    <row r="137" spans="1:6" ht="28.5" x14ac:dyDescent="0.2">
      <c r="A137" s="27" t="s">
        <v>89</v>
      </c>
      <c r="B137" s="30" t="s">
        <v>90</v>
      </c>
      <c r="C137" s="31" t="s">
        <v>91</v>
      </c>
      <c r="D137" s="33">
        <v>1099</v>
      </c>
      <c r="E137" s="34">
        <v>1156</v>
      </c>
      <c r="F137" s="33">
        <v>1156</v>
      </c>
    </row>
    <row r="138" spans="1:6" ht="48" customHeight="1" x14ac:dyDescent="0.2">
      <c r="A138" s="40" t="s">
        <v>92</v>
      </c>
      <c r="B138" s="30" t="s">
        <v>93</v>
      </c>
      <c r="C138" s="31" t="s">
        <v>94</v>
      </c>
      <c r="D138" s="33">
        <v>39503</v>
      </c>
      <c r="E138" s="34">
        <v>39979</v>
      </c>
      <c r="F138" s="33">
        <v>51358</v>
      </c>
    </row>
    <row r="139" spans="1:6" ht="47.25" customHeight="1" x14ac:dyDescent="0.2">
      <c r="A139" s="27" t="s">
        <v>95</v>
      </c>
      <c r="B139" s="15" t="s">
        <v>96</v>
      </c>
      <c r="C139" s="16"/>
      <c r="D139" s="33" t="s">
        <v>137</v>
      </c>
      <c r="E139" s="34" t="s">
        <v>137</v>
      </c>
      <c r="F139" s="33" t="s">
        <v>137</v>
      </c>
    </row>
    <row r="140" spans="1:6" ht="31.5" customHeight="1" x14ac:dyDescent="0.2">
      <c r="A140" s="27" t="s">
        <v>97</v>
      </c>
      <c r="B140" s="30" t="s">
        <v>98</v>
      </c>
      <c r="C140" s="31" t="s">
        <v>86</v>
      </c>
      <c r="D140" s="33">
        <v>13582</v>
      </c>
      <c r="E140" s="34">
        <v>94121</v>
      </c>
      <c r="F140" s="33">
        <v>98702</v>
      </c>
    </row>
    <row r="141" spans="1:6" ht="32.25" customHeight="1" x14ac:dyDescent="0.2">
      <c r="A141" s="27" t="s">
        <v>99</v>
      </c>
      <c r="B141" s="30" t="s">
        <v>100</v>
      </c>
      <c r="C141" s="31" t="s">
        <v>86</v>
      </c>
      <c r="D141" s="33">
        <v>42370</v>
      </c>
      <c r="E141" s="34">
        <v>0</v>
      </c>
      <c r="F141" s="33">
        <v>404585</v>
      </c>
    </row>
    <row r="142" spans="1:6" ht="33.75" customHeight="1" x14ac:dyDescent="0.2">
      <c r="A142" s="27" t="s">
        <v>101</v>
      </c>
      <c r="B142" s="30" t="s">
        <v>102</v>
      </c>
      <c r="C142" s="31" t="s">
        <v>86</v>
      </c>
      <c r="D142" s="33">
        <v>64960</v>
      </c>
      <c r="E142" s="34">
        <v>43909</v>
      </c>
      <c r="F142" s="33">
        <v>277077</v>
      </c>
    </row>
    <row r="143" spans="1:6" ht="31.5" customHeight="1" x14ac:dyDescent="0.2">
      <c r="A143" s="27" t="s">
        <v>103</v>
      </c>
      <c r="B143" s="30" t="s">
        <v>104</v>
      </c>
      <c r="C143" s="31" t="s">
        <v>86</v>
      </c>
      <c r="D143" s="33" t="s">
        <v>137</v>
      </c>
      <c r="E143" s="34" t="s">
        <v>137</v>
      </c>
      <c r="F143" s="33" t="s">
        <v>137</v>
      </c>
    </row>
    <row r="144" spans="1:6" ht="51" customHeight="1" x14ac:dyDescent="0.2">
      <c r="A144" s="27" t="s">
        <v>105</v>
      </c>
      <c r="B144" s="30" t="s">
        <v>106</v>
      </c>
      <c r="C144" s="31" t="s">
        <v>107</v>
      </c>
      <c r="D144" s="27">
        <v>5.12</v>
      </c>
      <c r="E144" s="31">
        <v>3.13</v>
      </c>
      <c r="F144" s="27">
        <v>9.68</v>
      </c>
    </row>
    <row r="145" spans="1:10" ht="90" customHeight="1" thickBot="1" x14ac:dyDescent="0.25">
      <c r="A145" s="35" t="s">
        <v>108</v>
      </c>
      <c r="B145" s="32" t="s">
        <v>109</v>
      </c>
      <c r="C145" s="21"/>
      <c r="D145" s="22" t="s">
        <v>139</v>
      </c>
      <c r="E145" s="39" t="s">
        <v>140</v>
      </c>
      <c r="F145" s="35" t="s">
        <v>137</v>
      </c>
    </row>
    <row r="146" spans="1:10" x14ac:dyDescent="0.2">
      <c r="A146" s="5"/>
    </row>
    <row r="147" spans="1:10" x14ac:dyDescent="0.2">
      <c r="A147" s="23" t="s">
        <v>110</v>
      </c>
      <c r="B147" s="23"/>
      <c r="C147" s="23"/>
      <c r="D147" s="23"/>
      <c r="E147" s="23"/>
      <c r="F147" s="23"/>
      <c r="G147" s="23"/>
      <c r="H147" s="23"/>
    </row>
    <row r="148" spans="1:10" x14ac:dyDescent="0.2">
      <c r="A148" s="163"/>
      <c r="B148" s="163"/>
      <c r="C148" s="163"/>
      <c r="D148" s="163"/>
    </row>
    <row r="149" spans="1:10" ht="15" x14ac:dyDescent="0.25">
      <c r="A149" s="11"/>
    </row>
    <row r="150" spans="1:10" ht="15" x14ac:dyDescent="0.25">
      <c r="A150" s="11"/>
    </row>
    <row r="151" spans="1:10" ht="15" x14ac:dyDescent="0.25">
      <c r="A151" s="11"/>
    </row>
    <row r="152" spans="1:10" ht="15" x14ac:dyDescent="0.25">
      <c r="A152" s="11"/>
    </row>
    <row r="153" spans="1:10" ht="15" x14ac:dyDescent="0.25">
      <c r="A153" s="11"/>
    </row>
    <row r="154" spans="1:10" ht="15" x14ac:dyDescent="0.25">
      <c r="A154" s="11"/>
      <c r="E154" s="7"/>
      <c r="G154" s="7"/>
      <c r="J154" s="7" t="s">
        <v>111</v>
      </c>
    </row>
    <row r="155" spans="1:10" ht="15" x14ac:dyDescent="0.25">
      <c r="A155" s="11"/>
      <c r="E155" s="9"/>
      <c r="G155" s="9"/>
      <c r="J155" s="9" t="s">
        <v>0</v>
      </c>
    </row>
    <row r="156" spans="1:10" ht="15" x14ac:dyDescent="0.25">
      <c r="A156" s="11"/>
      <c r="E156" s="7"/>
      <c r="G156" s="7"/>
    </row>
    <row r="157" spans="1:10" ht="15" x14ac:dyDescent="0.25">
      <c r="A157" s="11"/>
      <c r="E157" s="7"/>
      <c r="G157" s="7"/>
    </row>
    <row r="158" spans="1:10" ht="15" x14ac:dyDescent="0.25">
      <c r="A158" s="11"/>
    </row>
    <row r="159" spans="1:10" ht="15.75" thickBot="1" x14ac:dyDescent="0.3">
      <c r="A159" s="164" t="s">
        <v>112</v>
      </c>
      <c r="B159" s="164"/>
      <c r="C159" s="164"/>
      <c r="D159" s="164"/>
      <c r="E159" s="164"/>
      <c r="F159" s="164"/>
    </row>
    <row r="160" spans="1:10" ht="51.75" customHeight="1" thickBot="1" x14ac:dyDescent="0.25">
      <c r="A160" s="165" t="s">
        <v>16</v>
      </c>
      <c r="B160" s="165" t="s">
        <v>17</v>
      </c>
      <c r="C160" s="165" t="s">
        <v>18</v>
      </c>
      <c r="D160" s="159" t="s">
        <v>19</v>
      </c>
      <c r="E160" s="160"/>
      <c r="F160" s="170" t="s">
        <v>124</v>
      </c>
      <c r="G160" s="160"/>
      <c r="H160" s="159" t="s">
        <v>20</v>
      </c>
      <c r="I160" s="160"/>
    </row>
    <row r="161" spans="1:9" ht="32.25" customHeight="1" thickBot="1" x14ac:dyDescent="0.25">
      <c r="A161" s="166"/>
      <c r="B161" s="166"/>
      <c r="C161" s="166"/>
      <c r="D161" s="24" t="s">
        <v>113</v>
      </c>
      <c r="E161" s="12" t="s">
        <v>114</v>
      </c>
      <c r="F161" s="12" t="s">
        <v>113</v>
      </c>
      <c r="G161" s="12" t="s">
        <v>114</v>
      </c>
      <c r="H161" s="24" t="s">
        <v>113</v>
      </c>
      <c r="I161" s="12" t="s">
        <v>114</v>
      </c>
    </row>
    <row r="162" spans="1:9" x14ac:dyDescent="0.2">
      <c r="A162" s="14"/>
      <c r="B162" s="15"/>
      <c r="C162" s="17"/>
      <c r="D162" s="25"/>
      <c r="E162" s="17"/>
      <c r="F162" s="17"/>
      <c r="G162" s="17"/>
      <c r="H162" s="25"/>
      <c r="I162" s="17"/>
    </row>
    <row r="163" spans="1:9" ht="21" customHeight="1" x14ac:dyDescent="0.2">
      <c r="A163" s="14" t="s">
        <v>75</v>
      </c>
      <c r="B163" s="15" t="s">
        <v>115</v>
      </c>
      <c r="C163" s="17"/>
      <c r="D163" s="25"/>
      <c r="E163" s="17"/>
      <c r="F163" s="17"/>
      <c r="G163" s="17"/>
      <c r="H163" s="25"/>
      <c r="I163" s="17"/>
    </row>
    <row r="164" spans="1:9" ht="60.75" customHeight="1" x14ac:dyDescent="0.2">
      <c r="A164" s="14" t="s">
        <v>77</v>
      </c>
      <c r="B164" s="15" t="s">
        <v>116</v>
      </c>
      <c r="C164" s="15"/>
      <c r="D164" s="26">
        <v>48.44</v>
      </c>
      <c r="E164" s="27">
        <v>119.36</v>
      </c>
      <c r="F164" s="28">
        <f>152.49/1.18</f>
        <v>129.22881355932205</v>
      </c>
      <c r="G164" s="28">
        <f>158.43/1.18</f>
        <v>134.26271186440678</v>
      </c>
      <c r="H164" s="28">
        <f>158.43/1.18</f>
        <v>134.26271186440678</v>
      </c>
      <c r="I164" s="27">
        <v>242.99</v>
      </c>
    </row>
    <row r="165" spans="1:9" ht="78" customHeight="1" x14ac:dyDescent="0.2">
      <c r="A165" s="14" t="s">
        <v>80</v>
      </c>
      <c r="B165" s="15" t="s">
        <v>117</v>
      </c>
      <c r="C165" s="15"/>
      <c r="D165" s="26">
        <v>71.97</v>
      </c>
      <c r="E165" s="27">
        <v>78.13</v>
      </c>
      <c r="F165" s="27">
        <v>71.069999999999993</v>
      </c>
      <c r="G165" s="27">
        <v>71.069999999999993</v>
      </c>
      <c r="H165" s="27">
        <v>71.069999999999993</v>
      </c>
      <c r="I165" s="27">
        <v>535.9</v>
      </c>
    </row>
    <row r="166" spans="1:9" ht="33.75" customHeight="1" x14ac:dyDescent="0.2">
      <c r="A166" s="14" t="s">
        <v>118</v>
      </c>
      <c r="B166" s="15" t="s">
        <v>119</v>
      </c>
      <c r="C166" s="14" t="s">
        <v>107</v>
      </c>
      <c r="D166" s="25"/>
      <c r="E166" s="17"/>
      <c r="F166" s="17"/>
      <c r="G166" s="17"/>
      <c r="H166" s="25"/>
      <c r="I166" s="17"/>
    </row>
    <row r="167" spans="1:9" ht="25.5" customHeight="1" x14ac:dyDescent="0.2">
      <c r="A167" s="17"/>
      <c r="B167" s="15" t="s">
        <v>58</v>
      </c>
      <c r="C167" s="14" t="s">
        <v>107</v>
      </c>
      <c r="D167" s="29">
        <v>12.15</v>
      </c>
      <c r="E167" s="14">
        <v>18.22</v>
      </c>
      <c r="F167" s="14">
        <v>18.22</v>
      </c>
      <c r="G167" s="14">
        <v>18.22</v>
      </c>
      <c r="H167" s="14">
        <v>18.22</v>
      </c>
      <c r="I167" s="14">
        <v>22.68</v>
      </c>
    </row>
    <row r="168" spans="1:9" ht="23.25" customHeight="1" x14ac:dyDescent="0.2">
      <c r="A168" s="17"/>
      <c r="B168" s="15" t="s">
        <v>59</v>
      </c>
      <c r="C168" s="14" t="s">
        <v>107</v>
      </c>
      <c r="D168" s="29">
        <v>11.55</v>
      </c>
      <c r="E168" s="14">
        <v>17.32</v>
      </c>
      <c r="F168" s="14">
        <v>17.32</v>
      </c>
      <c r="G168" s="14">
        <v>17.32</v>
      </c>
      <c r="H168" s="14">
        <v>17.32</v>
      </c>
      <c r="I168" s="14">
        <v>21.56</v>
      </c>
    </row>
    <row r="169" spans="1:9" ht="21.75" customHeight="1" x14ac:dyDescent="0.2">
      <c r="A169" s="17"/>
      <c r="B169" s="15" t="s">
        <v>60</v>
      </c>
      <c r="C169" s="14" t="s">
        <v>107</v>
      </c>
      <c r="D169" s="29">
        <v>7.32</v>
      </c>
      <c r="E169" s="14">
        <v>10.98</v>
      </c>
      <c r="F169" s="14">
        <v>10.98</v>
      </c>
      <c r="G169" s="14">
        <v>10.98</v>
      </c>
      <c r="H169" s="14">
        <v>10.98</v>
      </c>
      <c r="I169" s="14">
        <v>13.67</v>
      </c>
    </row>
    <row r="170" spans="1:9" ht="23.25" customHeight="1" thickBot="1" x14ac:dyDescent="0.25">
      <c r="A170" s="22"/>
      <c r="B170" s="20" t="s">
        <v>61</v>
      </c>
      <c r="C170" s="19" t="s">
        <v>107</v>
      </c>
      <c r="D170" s="24">
        <v>3.99</v>
      </c>
      <c r="E170" s="19">
        <v>5.98</v>
      </c>
      <c r="F170" s="19">
        <v>5.98</v>
      </c>
      <c r="G170" s="19">
        <v>5.98</v>
      </c>
      <c r="H170" s="19">
        <v>5.98</v>
      </c>
      <c r="I170" s="19">
        <v>7.45</v>
      </c>
    </row>
    <row r="171" spans="1:9" x14ac:dyDescent="0.2">
      <c r="A171" s="161"/>
      <c r="B171" s="161"/>
      <c r="C171" s="161"/>
      <c r="D171" s="161"/>
      <c r="E171" s="161"/>
      <c r="F171" s="161"/>
      <c r="G171" s="161"/>
    </row>
    <row r="172" spans="1:9" x14ac:dyDescent="0.2">
      <c r="A172" s="23" t="s">
        <v>110</v>
      </c>
      <c r="B172" s="23"/>
      <c r="C172" s="23"/>
      <c r="D172" s="23"/>
      <c r="E172" s="23"/>
      <c r="F172" s="23"/>
    </row>
    <row r="173" spans="1:9" x14ac:dyDescent="0.2">
      <c r="A173" s="5"/>
    </row>
  </sheetData>
  <mergeCells count="48">
    <mergeCell ref="A171:G171"/>
    <mergeCell ref="C160:C161"/>
    <mergeCell ref="D160:E160"/>
    <mergeCell ref="F160:G160"/>
    <mergeCell ref="H160:I160"/>
    <mergeCell ref="E73:F73"/>
    <mergeCell ref="A5:F5"/>
    <mergeCell ref="A6:F6"/>
    <mergeCell ref="A7:F7"/>
    <mergeCell ref="A16:F16"/>
    <mergeCell ref="A26:B26"/>
    <mergeCell ref="A28:B28"/>
    <mergeCell ref="A30:B30"/>
    <mergeCell ref="A18:B18"/>
    <mergeCell ref="A20:B20"/>
    <mergeCell ref="A22:B22"/>
    <mergeCell ref="A24:B24"/>
    <mergeCell ref="A1:F1"/>
    <mergeCell ref="A2:F2"/>
    <mergeCell ref="A3:F3"/>
    <mergeCell ref="A4:F4"/>
    <mergeCell ref="A160:A161"/>
    <mergeCell ref="B160:B161"/>
    <mergeCell ref="A32:B32"/>
    <mergeCell ref="A34:B34"/>
    <mergeCell ref="A36:B36"/>
    <mergeCell ref="A46:F46"/>
    <mergeCell ref="A159:F159"/>
    <mergeCell ref="E75:F75"/>
    <mergeCell ref="E76:F76"/>
    <mergeCell ref="E78:F78"/>
    <mergeCell ref="E79:F79"/>
    <mergeCell ref="E82:F82"/>
    <mergeCell ref="A148:D148"/>
    <mergeCell ref="E74:F74"/>
    <mergeCell ref="E77:F77"/>
    <mergeCell ref="E80:F80"/>
    <mergeCell ref="E81:F81"/>
    <mergeCell ref="E84:F84"/>
    <mergeCell ref="E95:F95"/>
    <mergeCell ref="E98:F98"/>
    <mergeCell ref="E100:F100"/>
    <mergeCell ref="E85:F85"/>
    <mergeCell ref="E86:F86"/>
    <mergeCell ref="E96:F96"/>
    <mergeCell ref="E97:F97"/>
    <mergeCell ref="E99:F99"/>
    <mergeCell ref="E83:F83"/>
  </mergeCells>
  <hyperlinks>
    <hyperlink ref="E12" location="sub_10000" display="sub_10000"/>
    <hyperlink ref="C32" r:id="rId1"/>
    <hyperlink ref="J47" location="sub_10000" display="sub_10000"/>
    <hyperlink ref="J155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14" sqref="H14"/>
    </sheetView>
  </sheetViews>
  <sheetFormatPr defaultRowHeight="15" x14ac:dyDescent="0.25"/>
  <cols>
    <col min="2" max="2" width="9.5703125" bestFit="1" customWidth="1"/>
    <col min="3" max="3" width="10.28515625" customWidth="1"/>
    <col min="4" max="4" width="9.5703125" bestFit="1" customWidth="1"/>
    <col min="5" max="5" width="10.85546875" customWidth="1"/>
    <col min="6" max="7" width="10.42578125" customWidth="1"/>
    <col min="8" max="8" width="10.5703125" bestFit="1" customWidth="1"/>
  </cols>
  <sheetData>
    <row r="1" spans="1:8" x14ac:dyDescent="0.25">
      <c r="A1" t="s">
        <v>148</v>
      </c>
    </row>
    <row r="2" spans="1:8" x14ac:dyDescent="0.25">
      <c r="A2" t="s">
        <v>141</v>
      </c>
      <c r="B2" s="44" t="s">
        <v>142</v>
      </c>
      <c r="C2" s="44" t="s">
        <v>143</v>
      </c>
      <c r="D2" s="44" t="s">
        <v>144</v>
      </c>
      <c r="E2" s="44" t="s">
        <v>145</v>
      </c>
      <c r="F2" s="44" t="s">
        <v>146</v>
      </c>
      <c r="G2" s="44" t="s">
        <v>147</v>
      </c>
      <c r="H2" s="44" t="s">
        <v>149</v>
      </c>
    </row>
    <row r="3" spans="1:8" x14ac:dyDescent="0.25">
      <c r="B3" s="44"/>
      <c r="C3" s="44"/>
      <c r="D3" s="44"/>
      <c r="E3" s="44"/>
      <c r="F3" s="44"/>
      <c r="G3" s="44"/>
    </row>
    <row r="4" spans="1:8" x14ac:dyDescent="0.25">
      <c r="A4" s="45">
        <v>230</v>
      </c>
      <c r="B4" s="48">
        <f>SUM(B5:B6)</f>
        <v>93954.569000000003</v>
      </c>
      <c r="C4" s="48">
        <f t="shared" ref="C4:F4" si="0">SUM(C5:C6)</f>
        <v>94817.001000000004</v>
      </c>
      <c r="D4" s="48">
        <f t="shared" si="0"/>
        <v>85544.187999999995</v>
      </c>
      <c r="E4" s="48">
        <f t="shared" si="0"/>
        <v>83365.69</v>
      </c>
      <c r="F4" s="48">
        <f t="shared" si="0"/>
        <v>81688.747999999992</v>
      </c>
      <c r="G4" s="48">
        <f>SUM(G5:G6)</f>
        <v>84793.805999999997</v>
      </c>
      <c r="H4" s="48">
        <f>SUM(H5:H6)</f>
        <v>524164.00200000004</v>
      </c>
    </row>
    <row r="5" spans="1:8" x14ac:dyDescent="0.25">
      <c r="A5" s="43">
        <v>240</v>
      </c>
      <c r="B5" s="46">
        <v>63414.978999999999</v>
      </c>
      <c r="C5">
        <v>62824.474999999999</v>
      </c>
      <c r="D5" s="46">
        <v>60921.550999999999</v>
      </c>
      <c r="E5">
        <v>60673.743000000002</v>
      </c>
      <c r="F5" s="44">
        <v>59450.932000000001</v>
      </c>
      <c r="G5" s="47">
        <v>60000.002</v>
      </c>
      <c r="H5" s="46">
        <f>SUM(B5:G5)</f>
        <v>367285.68200000003</v>
      </c>
    </row>
    <row r="6" spans="1:8" x14ac:dyDescent="0.25">
      <c r="A6" s="43">
        <v>250</v>
      </c>
      <c r="B6" s="46">
        <v>30539.59</v>
      </c>
      <c r="C6">
        <v>31992.526000000002</v>
      </c>
      <c r="D6" s="46">
        <v>24622.636999999999</v>
      </c>
      <c r="E6">
        <v>22691.947</v>
      </c>
      <c r="F6" s="44">
        <v>22237.815999999999</v>
      </c>
      <c r="G6" s="47">
        <v>24793.804</v>
      </c>
      <c r="H6" s="46">
        <f>SUM(B6:G6)</f>
        <v>156878.32</v>
      </c>
    </row>
    <row r="8" spans="1:8" x14ac:dyDescent="0.25">
      <c r="A8" s="49">
        <v>290</v>
      </c>
      <c r="B8" s="48">
        <f>SUM(B9:B10)</f>
        <v>5786.0940000000001</v>
      </c>
      <c r="C8" s="48">
        <f t="shared" ref="C8:F8" si="1">SUM(C9:C10)</f>
        <v>6078.1320000000005</v>
      </c>
      <c r="D8" s="48">
        <f t="shared" si="1"/>
        <v>5467.0309999999999</v>
      </c>
      <c r="E8" s="48">
        <f t="shared" si="1"/>
        <v>4399.8019999999997</v>
      </c>
      <c r="F8" s="48">
        <f t="shared" si="1"/>
        <v>4197.5200000000004</v>
      </c>
      <c r="G8" s="50">
        <f>SUM(G9:G10)</f>
        <v>3738.7240000000002</v>
      </c>
      <c r="H8" s="52">
        <f>SUM(H9:H10)</f>
        <v>29667.303</v>
      </c>
    </row>
    <row r="9" spans="1:8" x14ac:dyDescent="0.25">
      <c r="A9" s="43">
        <v>300</v>
      </c>
      <c r="B9" s="44">
        <v>1182.0719999999999</v>
      </c>
      <c r="C9" s="44">
        <v>738.72900000000004</v>
      </c>
      <c r="D9" s="47">
        <v>1005.11</v>
      </c>
      <c r="E9" s="44">
        <v>1137.797</v>
      </c>
      <c r="F9" s="44">
        <v>988.56700000000001</v>
      </c>
      <c r="G9" s="44">
        <v>678.62599999999998</v>
      </c>
      <c r="H9" s="55">
        <f>SUM(B9:G9)</f>
        <v>5730.9009999999998</v>
      </c>
    </row>
    <row r="10" spans="1:8" x14ac:dyDescent="0.25">
      <c r="A10" s="43">
        <v>310</v>
      </c>
      <c r="B10" s="44">
        <v>4604.0219999999999</v>
      </c>
      <c r="C10" s="44">
        <v>5339.4030000000002</v>
      </c>
      <c r="D10" s="44">
        <v>4461.9210000000003</v>
      </c>
      <c r="E10" s="44">
        <v>3262.0050000000001</v>
      </c>
      <c r="F10" s="44">
        <v>3208.953</v>
      </c>
      <c r="G10" s="44">
        <v>3060.098</v>
      </c>
      <c r="H10" s="55">
        <f>SUM(B10:G10)</f>
        <v>23936.402000000002</v>
      </c>
    </row>
    <row r="11" spans="1:8" x14ac:dyDescent="0.25">
      <c r="B11" s="44"/>
      <c r="C11" s="44"/>
      <c r="D11" s="44"/>
      <c r="E11" s="44"/>
      <c r="F11" s="44"/>
    </row>
    <row r="12" spans="1:8" x14ac:dyDescent="0.25">
      <c r="A12" s="49">
        <v>400</v>
      </c>
      <c r="B12" s="48">
        <f>SUM(B13:B14)</f>
        <v>84190.807000000001</v>
      </c>
      <c r="C12" s="48">
        <f t="shared" ref="C12:F12" si="2">SUM(C13:C14)</f>
        <v>79702.701000000001</v>
      </c>
      <c r="D12" s="48">
        <f t="shared" si="2"/>
        <v>69206.577000000005</v>
      </c>
      <c r="E12" s="48">
        <f t="shared" si="2"/>
        <v>66638.81</v>
      </c>
      <c r="F12" s="48">
        <f t="shared" si="2"/>
        <v>65692.414000000004</v>
      </c>
      <c r="G12" s="50">
        <f>SUM(G13:G14)</f>
        <v>71239.159</v>
      </c>
      <c r="H12" s="54">
        <f>SUM(H13:H14)</f>
        <v>436670.46800000005</v>
      </c>
    </row>
    <row r="13" spans="1:8" x14ac:dyDescent="0.25">
      <c r="A13" s="43">
        <v>410</v>
      </c>
      <c r="B13" s="46">
        <v>40863.313999999998</v>
      </c>
      <c r="C13">
        <v>39853.771000000001</v>
      </c>
      <c r="D13" s="46">
        <v>37942.372000000003</v>
      </c>
      <c r="E13" s="44">
        <v>37979.807000000001</v>
      </c>
      <c r="F13" s="51">
        <v>42486.031999999999</v>
      </c>
      <c r="G13" s="51">
        <v>45970.731</v>
      </c>
      <c r="H13" s="53">
        <f>SUM(B13:G13)</f>
        <v>245096.027</v>
      </c>
    </row>
    <row r="14" spans="1:8" x14ac:dyDescent="0.25">
      <c r="A14" s="43">
        <v>420</v>
      </c>
      <c r="B14" s="47">
        <v>43327.493000000002</v>
      </c>
      <c r="C14" s="47">
        <v>39848.93</v>
      </c>
      <c r="D14" s="46">
        <v>31264.205000000002</v>
      </c>
      <c r="E14" s="44">
        <v>28659.003000000001</v>
      </c>
      <c r="F14" s="51">
        <v>23206.382000000001</v>
      </c>
      <c r="G14" s="51">
        <v>25268.428</v>
      </c>
      <c r="H14" s="53">
        <f>SUM(B14:G14)</f>
        <v>191574.44100000005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56</vt:i4>
      </vt:variant>
    </vt:vector>
  </HeadingPairs>
  <TitlesOfParts>
    <vt:vector size="65" baseType="lpstr">
      <vt:lpstr>2021</vt:lpstr>
      <vt:lpstr>2025</vt:lpstr>
      <vt:lpstr>2024</vt:lpstr>
      <vt:lpstr>2023</vt:lpstr>
      <vt:lpstr>2022</vt:lpstr>
      <vt:lpstr>2020</vt:lpstr>
      <vt:lpstr>2019</vt:lpstr>
      <vt:lpstr>2015</vt:lpstr>
      <vt:lpstr>Лист1</vt:lpstr>
      <vt:lpstr>'2015'!sub_10100</vt:lpstr>
      <vt:lpstr>'2019'!sub_10100</vt:lpstr>
      <vt:lpstr>'2020'!sub_10100</vt:lpstr>
      <vt:lpstr>'2021'!sub_10100</vt:lpstr>
      <vt:lpstr>'2022'!sub_10100</vt:lpstr>
      <vt:lpstr>'2023'!sub_10100</vt:lpstr>
      <vt:lpstr>'2024'!sub_10100</vt:lpstr>
      <vt:lpstr>'2025'!sub_10100</vt:lpstr>
      <vt:lpstr>'2015'!sub_10200</vt:lpstr>
      <vt:lpstr>'2019'!sub_10200</vt:lpstr>
      <vt:lpstr>'2020'!sub_10200</vt:lpstr>
      <vt:lpstr>'2021'!sub_10200</vt:lpstr>
      <vt:lpstr>'2022'!sub_10200</vt:lpstr>
      <vt:lpstr>'2023'!sub_10200</vt:lpstr>
      <vt:lpstr>'2024'!sub_10200</vt:lpstr>
      <vt:lpstr>'2025'!sub_10200</vt:lpstr>
      <vt:lpstr>'2015'!sub_10300</vt:lpstr>
      <vt:lpstr>'2019'!sub_10300</vt:lpstr>
      <vt:lpstr>'2020'!sub_10300</vt:lpstr>
      <vt:lpstr>'2021'!sub_10300</vt:lpstr>
      <vt:lpstr>'2022'!sub_10300</vt:lpstr>
      <vt:lpstr>'2023'!sub_10300</vt:lpstr>
      <vt:lpstr>'2024'!sub_10300</vt:lpstr>
      <vt:lpstr>'2025'!sub_10300</vt:lpstr>
      <vt:lpstr>'2015'!sub_10311</vt:lpstr>
      <vt:lpstr>'2019'!sub_10311</vt:lpstr>
      <vt:lpstr>'2020'!sub_10311</vt:lpstr>
      <vt:lpstr>'2021'!sub_10311</vt:lpstr>
      <vt:lpstr>'2022'!sub_10311</vt:lpstr>
      <vt:lpstr>'2023'!sub_10311</vt:lpstr>
      <vt:lpstr>'2024'!sub_10311</vt:lpstr>
      <vt:lpstr>'2025'!sub_10311</vt:lpstr>
      <vt:lpstr>'2015'!sub_10500</vt:lpstr>
      <vt:lpstr>'2019'!sub_10500</vt:lpstr>
      <vt:lpstr>'2020'!sub_10500</vt:lpstr>
      <vt:lpstr>'2021'!sub_10500</vt:lpstr>
      <vt:lpstr>'2022'!sub_10500</vt:lpstr>
      <vt:lpstr>'2023'!sub_10500</vt:lpstr>
      <vt:lpstr>'2024'!sub_10500</vt:lpstr>
      <vt:lpstr>'2025'!sub_10500</vt:lpstr>
      <vt:lpstr>'2015'!sub_10511</vt:lpstr>
      <vt:lpstr>'2019'!sub_10511</vt:lpstr>
      <vt:lpstr>'2020'!sub_10511</vt:lpstr>
      <vt:lpstr>'2021'!sub_10511</vt:lpstr>
      <vt:lpstr>'2022'!sub_10511</vt:lpstr>
      <vt:lpstr>'2023'!sub_10511</vt:lpstr>
      <vt:lpstr>'2024'!sub_10511</vt:lpstr>
      <vt:lpstr>'2025'!sub_10511</vt:lpstr>
      <vt:lpstr>'2015'!Область_печати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  <vt:lpstr>'2025'!Область_печати</vt:lpstr>
    </vt:vector>
  </TitlesOfParts>
  <Company>Красноярскэнергосбыт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Татьяна Ивановна</dc:creator>
  <cp:lastModifiedBy>Мельникова Ольга Владимировна</cp:lastModifiedBy>
  <cp:lastPrinted>2019-04-15T08:46:09Z</cp:lastPrinted>
  <dcterms:created xsi:type="dcterms:W3CDTF">2014-09-02T00:28:10Z</dcterms:created>
  <dcterms:modified xsi:type="dcterms:W3CDTF">2024-10-31T03:03:43Z</dcterms:modified>
</cp:coreProperties>
</file>